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\Desktop\Мои документы ГБУК\ПФХД\2022\"/>
    </mc:Choice>
  </mc:AlternateContent>
  <bookViews>
    <workbookView xWindow="0" yWindow="0" windowWidth="28800" windowHeight="12330" firstSheet="5" activeTab="5"/>
  </bookViews>
  <sheets>
    <sheet name="гос.зад на 2022 год " sheetId="9" r:id="rId1"/>
    <sheet name="Закупки гос.задание на 2022 год" sheetId="1" r:id="rId2"/>
    <sheet name="обоснования гос.зад 2022 " sheetId="28" r:id="rId3"/>
    <sheet name="платные на 2022 год " sheetId="11" r:id="rId4"/>
    <sheet name="Закупки платные на 2022 год" sheetId="30" r:id="rId5"/>
    <sheet name="обоснования плат 2022г." sheetId="15" r:id="rId6"/>
    <sheet name="иные субсидии 2022 год " sheetId="10" r:id="rId7"/>
    <sheet name="Закупки иные на 2022 год " sheetId="13" r:id="rId8"/>
    <sheet name="обоснования иные 2022 " sheetId="29" r:id="rId9"/>
    <sheet name="гос.задание на 2023-2024 год " sheetId="5" r:id="rId10"/>
    <sheet name="Закупки гос.зад на 2023-2024" sheetId="17" r:id="rId11"/>
    <sheet name="обоснования гос.зад 2023г" sheetId="24" r:id="rId12"/>
    <sheet name="обоснования гос.зад 2024г" sheetId="32" r:id="rId13"/>
    <sheet name="платные на 2022-2023 год" sheetId="6" r:id="rId14"/>
    <sheet name="Закупки платные на 2022-2023" sheetId="18" r:id="rId15"/>
    <sheet name="обоснования плат 2022г" sheetId="26" r:id="rId16"/>
    <sheet name="обоснования плат 2023" sheetId="27" r:id="rId17"/>
    <sheet name="иные субсидии 2022-2023" sheetId="20" r:id="rId18"/>
    <sheet name="Закупки иные на 2022-2023" sheetId="19" r:id="rId19"/>
    <sheet name="ОБОСНОВАНИЯ" sheetId="14" r:id="rId20"/>
  </sheets>
  <definedNames>
    <definedName name="_xlnm._FilterDatabase" localSheetId="10" hidden="1">'Закупки гос.зад на 2023-2024'!$A$8:$F$59</definedName>
    <definedName name="_xlnm._FilterDatabase" localSheetId="1" hidden="1">'Закупки гос.задание на 2022 год'!$A$8:$F$59</definedName>
    <definedName name="_xlnm._FilterDatabase" localSheetId="7" hidden="1">'Закупки иные на 2022 год '!$A$8:$F$59</definedName>
    <definedName name="_xlnm._FilterDatabase" localSheetId="18" hidden="1">'Закупки иные на 2022-2023'!$A$8:$F$53</definedName>
    <definedName name="_xlnm._FilterDatabase" localSheetId="4" hidden="1">'Закупки платные на 2022 год'!$A$8:$F$59</definedName>
    <definedName name="_xlnm._FilterDatabase" localSheetId="14" hidden="1">'Закупки платные на 2022-2023'!$A$8:$F$53</definedName>
    <definedName name="_xlnm.Print_Titles" localSheetId="0">'гос.зад на 2022 год '!$7:$7</definedName>
    <definedName name="_xlnm.Print_Titles" localSheetId="9">'гос.задание на 2023-2024 год '!$7:$7</definedName>
    <definedName name="_xlnm.Print_Titles" localSheetId="10">'Закупки гос.зад на 2023-2024'!$8:$8</definedName>
    <definedName name="_xlnm.Print_Titles" localSheetId="1">'Закупки гос.задание на 2022 год'!$8:$8</definedName>
    <definedName name="_xlnm.Print_Titles" localSheetId="7">'Закупки иные на 2022 год '!$8:$8</definedName>
    <definedName name="_xlnm.Print_Titles" localSheetId="18">'Закупки иные на 2022-2023'!$8:$8</definedName>
    <definedName name="_xlnm.Print_Titles" localSheetId="4">'Закупки платные на 2022 год'!$8:$8</definedName>
    <definedName name="_xlnm.Print_Titles" localSheetId="14">'Закупки платные на 2022-2023'!$8:$8</definedName>
    <definedName name="_xlnm.Print_Titles" localSheetId="6">'иные субсидии 2022 год '!$7:$7</definedName>
    <definedName name="_xlnm.Print_Titles" localSheetId="17">'иные субсидии 2022-2023'!$7:$7</definedName>
    <definedName name="_xlnm.Print_Titles" localSheetId="3">'платные на 2022 год '!$7:$7</definedName>
    <definedName name="_xlnm.Print_Titles" localSheetId="13">'платные на 2022-2023 год'!$7:$7</definedName>
    <definedName name="_xlnm.Print_Area" localSheetId="0">'гос.зад на 2022 год '!$A$1:$F$121</definedName>
    <definedName name="_xlnm.Print_Area" localSheetId="9">'гос.задание на 2023-2024 год '!$A$1:$I$121</definedName>
    <definedName name="_xlnm.Print_Area" localSheetId="6">'иные субсидии 2022 год '!$A$1:$F$117</definedName>
    <definedName name="_xlnm.Print_Area" localSheetId="17">'иные субсидии 2022-2023'!$A$1:$I$119</definedName>
    <definedName name="_xlnm.Print_Area" localSheetId="2">'обоснования гос.зад 2022 '!$A$1:$G$348</definedName>
    <definedName name="_xlnm.Print_Area" localSheetId="11">'обоснования гос.зад 2023г'!$A$1:$G$325</definedName>
    <definedName name="_xlnm.Print_Area" localSheetId="12">'обоснования гос.зад 2024г'!$A$1:$G$325</definedName>
    <definedName name="_xlnm.Print_Area" localSheetId="8">'обоснования иные 2022 '!$A$1:$G$45</definedName>
    <definedName name="_xlnm.Print_Area" localSheetId="15">'обоснования плат 2022г'!$A$1:$H$406</definedName>
    <definedName name="_xlnm.Print_Area" localSheetId="5">'обоснования плат 2022г.'!$A$1:$G$151</definedName>
    <definedName name="_xlnm.Print_Area" localSheetId="16">'обоснования плат 2023'!$A$1:$K$406</definedName>
    <definedName name="_xlnm.Print_Area" localSheetId="3">'платные на 2022 год '!$A$1:$F$126</definedName>
    <definedName name="_xlnm.Print_Area" localSheetId="13">'платные на 2022-2023 год'!$A$1:$I$122</definedName>
  </definedNames>
  <calcPr calcId="162913"/>
</workbook>
</file>

<file path=xl/calcChain.xml><?xml version="1.0" encoding="utf-8"?>
<calcChain xmlns="http://schemas.openxmlformats.org/spreadsheetml/2006/main">
  <c r="H62" i="6" l="1"/>
  <c r="E62" i="6"/>
  <c r="H61" i="5"/>
  <c r="E61" i="5"/>
  <c r="E57" i="10"/>
  <c r="E66" i="11"/>
  <c r="E61" i="9"/>
  <c r="D61" i="9" s="1"/>
  <c r="D69" i="6"/>
  <c r="G69" i="6"/>
  <c r="D68" i="5"/>
  <c r="G68" i="5"/>
  <c r="D64" i="10" l="1"/>
  <c r="D73" i="11"/>
  <c r="D68" i="9"/>
  <c r="D67" i="9"/>
  <c r="E107" i="11" l="1"/>
  <c r="E94" i="11"/>
  <c r="E14" i="11"/>
  <c r="E13" i="11"/>
  <c r="F277" i="28"/>
  <c r="F243" i="28"/>
  <c r="E59" i="9" l="1"/>
  <c r="E58" i="9"/>
  <c r="E52" i="9"/>
  <c r="E89" i="10" l="1"/>
  <c r="E15" i="10"/>
  <c r="F267" i="28"/>
  <c r="E102" i="9"/>
  <c r="E101" i="9"/>
  <c r="E75" i="9"/>
  <c r="E74" i="9"/>
  <c r="E73" i="9"/>
  <c r="E46" i="9"/>
  <c r="E45" i="9"/>
  <c r="E43" i="9"/>
  <c r="E34" i="9"/>
  <c r="E14" i="9"/>
  <c r="E98" i="11" l="1"/>
  <c r="D337" i="28"/>
  <c r="E104" i="9"/>
  <c r="E12" i="10" l="1"/>
  <c r="E10" i="10" s="1"/>
  <c r="E99" i="9" l="1"/>
  <c r="E47" i="9"/>
  <c r="E37" i="9"/>
  <c r="E27" i="9"/>
  <c r="F97" i="28" l="1"/>
  <c r="F96" i="28"/>
  <c r="F95" i="28"/>
  <c r="F94" i="28"/>
  <c r="F93" i="28"/>
  <c r="F91" i="28"/>
  <c r="F90" i="28"/>
  <c r="F89" i="28"/>
  <c r="F74" i="28"/>
  <c r="F73" i="28"/>
  <c r="F82" i="28"/>
  <c r="F100" i="28"/>
  <c r="F88" i="28"/>
  <c r="F106" i="28"/>
  <c r="F105" i="28"/>
  <c r="F44" i="28"/>
  <c r="F34" i="28"/>
  <c r="F35" i="28"/>
  <c r="F25" i="28"/>
  <c r="F111" i="28"/>
  <c r="F110" i="28"/>
  <c r="F109" i="28"/>
  <c r="F108" i="28"/>
  <c r="F107" i="28"/>
  <c r="F102" i="28"/>
  <c r="F101" i="28"/>
  <c r="F92" i="28"/>
  <c r="F85" i="28"/>
  <c r="F84" i="28"/>
  <c r="F83" i="28"/>
  <c r="F79" i="28"/>
  <c r="F78" i="28"/>
  <c r="F76" i="28"/>
  <c r="F75" i="28"/>
  <c r="F54" i="28"/>
  <c r="F53" i="28"/>
  <c r="F52" i="28"/>
  <c r="F51" i="28"/>
  <c r="F50" i="28"/>
  <c r="F49" i="28"/>
  <c r="F46" i="28"/>
  <c r="F45" i="28"/>
  <c r="F41" i="28"/>
  <c r="F40" i="28"/>
  <c r="F37" i="28"/>
  <c r="F36" i="28"/>
  <c r="F33" i="28"/>
  <c r="F29" i="28"/>
  <c r="F28" i="28"/>
  <c r="F27" i="28"/>
  <c r="F26" i="28"/>
  <c r="F24" i="28"/>
  <c r="F23" i="28"/>
  <c r="F62" i="28" l="1"/>
  <c r="F69" i="28"/>
  <c r="F63" i="28"/>
  <c r="F64" i="28"/>
  <c r="F59" i="28"/>
  <c r="F58" i="28"/>
  <c r="F55" i="28"/>
  <c r="F77" i="15" l="1"/>
  <c r="F108" i="15"/>
  <c r="F107" i="15"/>
  <c r="F106" i="15"/>
  <c r="F105" i="15"/>
  <c r="F87" i="6"/>
  <c r="D87" i="6"/>
  <c r="D89" i="6"/>
  <c r="G89" i="6"/>
  <c r="I86" i="5"/>
  <c r="H86" i="5"/>
  <c r="E86" i="5"/>
  <c r="D86" i="5" s="1"/>
  <c r="F86" i="5"/>
  <c r="D88" i="5"/>
  <c r="G88" i="5"/>
  <c r="D82" i="10"/>
  <c r="E82" i="10"/>
  <c r="D84" i="10"/>
  <c r="E91" i="11"/>
  <c r="D91" i="11" s="1"/>
  <c r="D93" i="11"/>
  <c r="D88" i="9"/>
  <c r="D112" i="28" l="1"/>
  <c r="C106" i="28"/>
  <c r="G106" i="28" s="1"/>
  <c r="B80" i="28"/>
  <c r="B70" i="28"/>
  <c r="B60" i="28"/>
  <c r="B56" i="28"/>
  <c r="B47" i="28"/>
  <c r="B42" i="28"/>
  <c r="B38" i="28"/>
  <c r="B31" i="28"/>
  <c r="D31" i="28"/>
  <c r="D80" i="28"/>
  <c r="D70" i="28"/>
  <c r="C64" i="28"/>
  <c r="G64" i="28" s="1"/>
  <c r="C63" i="28"/>
  <c r="G63" i="28" s="1"/>
  <c r="E38" i="9"/>
  <c r="E28" i="9" l="1"/>
  <c r="E26" i="9"/>
  <c r="E59" i="11" l="1"/>
  <c r="E48" i="9"/>
  <c r="E54" i="9"/>
  <c r="E109" i="11" l="1"/>
  <c r="D15" i="5"/>
  <c r="G15" i="5"/>
  <c r="D14" i="5"/>
  <c r="G14" i="5"/>
  <c r="D83" i="20"/>
  <c r="G83" i="20"/>
  <c r="D85" i="6"/>
  <c r="G85" i="6"/>
  <c r="D84" i="5"/>
  <c r="G84" i="5"/>
  <c r="D80" i="10"/>
  <c r="E84" i="11"/>
  <c r="D84" i="11" s="1"/>
  <c r="D89" i="11"/>
  <c r="D84" i="9"/>
  <c r="E79" i="11" l="1"/>
  <c r="G114" i="28" l="1"/>
  <c r="E57" i="11" l="1"/>
  <c r="E152" i="9" l="1"/>
  <c r="E149" i="9"/>
  <c r="E66" i="9"/>
  <c r="F299" i="32" l="1"/>
  <c r="F264" i="32"/>
  <c r="F246" i="32"/>
  <c r="F216" i="32"/>
  <c r="F209" i="32"/>
  <c r="F206" i="32"/>
  <c r="F204" i="32"/>
  <c r="F203" i="32"/>
  <c r="F202" i="32"/>
  <c r="F201" i="32"/>
  <c r="F200" i="32"/>
  <c r="F199" i="32"/>
  <c r="F198" i="32"/>
  <c r="F197" i="32"/>
  <c r="F196" i="32"/>
  <c r="F195" i="32"/>
  <c r="F168" i="32"/>
  <c r="F167" i="32"/>
  <c r="F164" i="32"/>
  <c r="F163" i="32"/>
  <c r="D119" i="32"/>
  <c r="D110" i="32"/>
  <c r="D111" i="32" s="1"/>
  <c r="D112" i="32" s="1"/>
  <c r="B110" i="32"/>
  <c r="B111" i="32" s="1"/>
  <c r="F109" i="32"/>
  <c r="C109" i="32" s="1"/>
  <c r="G109" i="32" s="1"/>
  <c r="G108" i="32"/>
  <c r="F108" i="32"/>
  <c r="C108" i="32"/>
  <c r="F107" i="32"/>
  <c r="C107" i="32" s="1"/>
  <c r="G107" i="32" s="1"/>
  <c r="F106" i="32"/>
  <c r="C106" i="32"/>
  <c r="G106" i="32" s="1"/>
  <c r="F105" i="32"/>
  <c r="C105" i="32" s="1"/>
  <c r="G105" i="32" s="1"/>
  <c r="G104" i="32"/>
  <c r="F104" i="32"/>
  <c r="C104" i="32"/>
  <c r="F103" i="32"/>
  <c r="F110" i="32" s="1"/>
  <c r="E101" i="32"/>
  <c r="D101" i="32"/>
  <c r="B101" i="32"/>
  <c r="G100" i="32"/>
  <c r="F100" i="32"/>
  <c r="C100" i="32"/>
  <c r="F99" i="32"/>
  <c r="C99" i="32" s="1"/>
  <c r="G99" i="32" s="1"/>
  <c r="F98" i="32"/>
  <c r="F101" i="32" s="1"/>
  <c r="C98" i="32"/>
  <c r="E96" i="32"/>
  <c r="D96" i="32"/>
  <c r="B96" i="32"/>
  <c r="F95" i="32"/>
  <c r="C95" i="32" s="1"/>
  <c r="G95" i="32" s="1"/>
  <c r="F94" i="32"/>
  <c r="C94" i="32"/>
  <c r="G94" i="32" s="1"/>
  <c r="F93" i="32"/>
  <c r="C93" i="32" s="1"/>
  <c r="G93" i="32" s="1"/>
  <c r="G92" i="32"/>
  <c r="F92" i="32"/>
  <c r="C92" i="32"/>
  <c r="F91" i="32"/>
  <c r="C91" i="32" s="1"/>
  <c r="G91" i="32" s="1"/>
  <c r="F90" i="32"/>
  <c r="C90" i="32"/>
  <c r="G90" i="32" s="1"/>
  <c r="F89" i="32"/>
  <c r="C89" i="32" s="1"/>
  <c r="G89" i="32" s="1"/>
  <c r="G88" i="32"/>
  <c r="F88" i="32"/>
  <c r="C88" i="32"/>
  <c r="F87" i="32"/>
  <c r="C87" i="32" s="1"/>
  <c r="G87" i="32" s="1"/>
  <c r="F86" i="32"/>
  <c r="F96" i="32" s="1"/>
  <c r="C86" i="32"/>
  <c r="E84" i="32"/>
  <c r="D84" i="32"/>
  <c r="B84" i="32"/>
  <c r="F83" i="32"/>
  <c r="C83" i="32" s="1"/>
  <c r="G83" i="32" s="1"/>
  <c r="F82" i="32"/>
  <c r="C82" i="32"/>
  <c r="G82" i="32" s="1"/>
  <c r="F81" i="32"/>
  <c r="C81" i="32" s="1"/>
  <c r="G81" i="32" s="1"/>
  <c r="G80" i="32"/>
  <c r="F80" i="32"/>
  <c r="C80" i="32"/>
  <c r="F79" i="32"/>
  <c r="C79" i="32" s="1"/>
  <c r="E77" i="32"/>
  <c r="D77" i="32"/>
  <c r="B77" i="32"/>
  <c r="G76" i="32"/>
  <c r="F76" i="32"/>
  <c r="C76" i="32"/>
  <c r="F75" i="32"/>
  <c r="C75" i="32" s="1"/>
  <c r="G75" i="32" s="1"/>
  <c r="F74" i="32"/>
  <c r="C74" i="32"/>
  <c r="G74" i="32" s="1"/>
  <c r="F73" i="32"/>
  <c r="C73" i="32" s="1"/>
  <c r="G73" i="32" s="1"/>
  <c r="G72" i="32"/>
  <c r="F72" i="32"/>
  <c r="C72" i="32"/>
  <c r="F71" i="32"/>
  <c r="C71" i="32" s="1"/>
  <c r="D68" i="32"/>
  <c r="B68" i="32"/>
  <c r="G67" i="32"/>
  <c r="F67" i="32"/>
  <c r="C67" i="32"/>
  <c r="F66" i="32"/>
  <c r="C66" i="32" s="1"/>
  <c r="G66" i="32" s="1"/>
  <c r="F65" i="32"/>
  <c r="C65" i="32"/>
  <c r="G65" i="32" s="1"/>
  <c r="F64" i="32"/>
  <c r="C64" i="32" s="1"/>
  <c r="G64" i="32" s="1"/>
  <c r="G63" i="32"/>
  <c r="F63" i="32"/>
  <c r="C63" i="32"/>
  <c r="F62" i="32"/>
  <c r="C62" i="32" s="1"/>
  <c r="G62" i="32" s="1"/>
  <c r="F61" i="32"/>
  <c r="C61" i="32"/>
  <c r="E59" i="32"/>
  <c r="D59" i="32"/>
  <c r="B59" i="32"/>
  <c r="F58" i="32"/>
  <c r="C58" i="32" s="1"/>
  <c r="G58" i="32" s="1"/>
  <c r="F57" i="32"/>
  <c r="C57" i="32"/>
  <c r="C59" i="32" s="1"/>
  <c r="E55" i="32"/>
  <c r="D55" i="32"/>
  <c r="D69" i="32" s="1"/>
  <c r="B55" i="32"/>
  <c r="F54" i="32"/>
  <c r="C54" i="32" s="1"/>
  <c r="G54" i="32" s="1"/>
  <c r="F53" i="32"/>
  <c r="C53" i="32"/>
  <c r="G53" i="32" s="1"/>
  <c r="F52" i="32"/>
  <c r="C52" i="32" s="1"/>
  <c r="G52" i="32" s="1"/>
  <c r="G51" i="32"/>
  <c r="F51" i="32"/>
  <c r="C51" i="32"/>
  <c r="F50" i="32"/>
  <c r="C50" i="32" s="1"/>
  <c r="G50" i="32" s="1"/>
  <c r="F49" i="32"/>
  <c r="C49" i="32"/>
  <c r="G49" i="32" s="1"/>
  <c r="F48" i="32"/>
  <c r="F55" i="32" s="1"/>
  <c r="E46" i="32"/>
  <c r="D46" i="32"/>
  <c r="B46" i="32"/>
  <c r="F45" i="32"/>
  <c r="C45" i="32"/>
  <c r="G45" i="32" s="1"/>
  <c r="F44" i="32"/>
  <c r="C44" i="32" s="1"/>
  <c r="G43" i="32"/>
  <c r="F43" i="32"/>
  <c r="F46" i="32" s="1"/>
  <c r="C43" i="32"/>
  <c r="F41" i="32"/>
  <c r="D41" i="32"/>
  <c r="B41" i="32"/>
  <c r="F40" i="32"/>
  <c r="C40" i="32" s="1"/>
  <c r="G40" i="32" s="1"/>
  <c r="G39" i="32"/>
  <c r="G41" i="32" s="1"/>
  <c r="F39" i="32"/>
  <c r="C39" i="32"/>
  <c r="C41" i="32" s="1"/>
  <c r="D37" i="32"/>
  <c r="B37" i="32"/>
  <c r="G36" i="32"/>
  <c r="F36" i="32"/>
  <c r="C36" i="32"/>
  <c r="F35" i="32"/>
  <c r="C35" i="32" s="1"/>
  <c r="G35" i="32" s="1"/>
  <c r="F34" i="32"/>
  <c r="C34" i="32"/>
  <c r="G34" i="32" s="1"/>
  <c r="F33" i="32"/>
  <c r="C33" i="32" s="1"/>
  <c r="G33" i="32" s="1"/>
  <c r="G32" i="32"/>
  <c r="F32" i="32"/>
  <c r="C32" i="32"/>
  <c r="D30" i="32"/>
  <c r="B30" i="32"/>
  <c r="B69" i="32" s="1"/>
  <c r="G29" i="32"/>
  <c r="F29" i="32"/>
  <c r="C29" i="32"/>
  <c r="F28" i="32"/>
  <c r="C28" i="32" s="1"/>
  <c r="G28" i="32" s="1"/>
  <c r="F27" i="32"/>
  <c r="C27" i="32"/>
  <c r="G27" i="32" s="1"/>
  <c r="F26" i="32"/>
  <c r="C26" i="32" s="1"/>
  <c r="G26" i="32" s="1"/>
  <c r="G25" i="32"/>
  <c r="F25" i="32"/>
  <c r="C25" i="32"/>
  <c r="F24" i="32"/>
  <c r="C24" i="32" s="1"/>
  <c r="G24" i="32" s="1"/>
  <c r="F23" i="32"/>
  <c r="C23" i="32"/>
  <c r="F11" i="32"/>
  <c r="D119" i="24"/>
  <c r="F109" i="24"/>
  <c r="F23" i="24"/>
  <c r="D110" i="24"/>
  <c r="B110" i="24"/>
  <c r="C109" i="24"/>
  <c r="G109" i="24" s="1"/>
  <c r="F108" i="24"/>
  <c r="C108" i="24" s="1"/>
  <c r="G108" i="24" s="1"/>
  <c r="F107" i="24"/>
  <c r="C107" i="24" s="1"/>
  <c r="G107" i="24" s="1"/>
  <c r="F106" i="24"/>
  <c r="C106" i="24"/>
  <c r="G106" i="24" s="1"/>
  <c r="F105" i="24"/>
  <c r="C105" i="24" s="1"/>
  <c r="G105" i="24" s="1"/>
  <c r="F104" i="24"/>
  <c r="C104" i="24" s="1"/>
  <c r="G104" i="24" s="1"/>
  <c r="F103" i="24"/>
  <c r="C103" i="24"/>
  <c r="E101" i="24"/>
  <c r="D101" i="24"/>
  <c r="B101" i="24"/>
  <c r="F100" i="24"/>
  <c r="C100" i="24" s="1"/>
  <c r="G100" i="24" s="1"/>
  <c r="F99" i="24"/>
  <c r="C99" i="24"/>
  <c r="F98" i="24"/>
  <c r="E96" i="24"/>
  <c r="D96" i="24"/>
  <c r="B96" i="24"/>
  <c r="F95" i="24"/>
  <c r="C95" i="24"/>
  <c r="G95" i="24" s="1"/>
  <c r="F94" i="24"/>
  <c r="C94" i="24" s="1"/>
  <c r="G94" i="24" s="1"/>
  <c r="F93" i="24"/>
  <c r="C93" i="24" s="1"/>
  <c r="G93" i="24" s="1"/>
  <c r="F92" i="24"/>
  <c r="C92" i="24" s="1"/>
  <c r="G92" i="24" s="1"/>
  <c r="F91" i="24"/>
  <c r="C91" i="24" s="1"/>
  <c r="G91" i="24" s="1"/>
  <c r="F90" i="24"/>
  <c r="C90" i="24"/>
  <c r="G90" i="24" s="1"/>
  <c r="F89" i="24"/>
  <c r="C89" i="24" s="1"/>
  <c r="G89" i="24" s="1"/>
  <c r="F88" i="24"/>
  <c r="F87" i="24"/>
  <c r="C87" i="24"/>
  <c r="G87" i="24" s="1"/>
  <c r="F86" i="24"/>
  <c r="C86" i="24"/>
  <c r="G86" i="24" s="1"/>
  <c r="E84" i="24"/>
  <c r="D84" i="24"/>
  <c r="B84" i="24"/>
  <c r="F83" i="24"/>
  <c r="C83" i="24" s="1"/>
  <c r="G83" i="24" s="1"/>
  <c r="F82" i="24"/>
  <c r="C82" i="24" s="1"/>
  <c r="G82" i="24" s="1"/>
  <c r="F81" i="24"/>
  <c r="C81" i="24" s="1"/>
  <c r="G81" i="24" s="1"/>
  <c r="F80" i="24"/>
  <c r="C80" i="24"/>
  <c r="G80" i="24" s="1"/>
  <c r="F79" i="24"/>
  <c r="C79" i="24"/>
  <c r="G79" i="24" s="1"/>
  <c r="E77" i="24"/>
  <c r="D77" i="24"/>
  <c r="B77" i="24"/>
  <c r="F76" i="24"/>
  <c r="C76" i="24" s="1"/>
  <c r="G76" i="24" s="1"/>
  <c r="F75" i="24"/>
  <c r="C75" i="24"/>
  <c r="G75" i="24" s="1"/>
  <c r="F74" i="24"/>
  <c r="C74" i="24" s="1"/>
  <c r="G74" i="24" s="1"/>
  <c r="F73" i="24"/>
  <c r="C73" i="24" s="1"/>
  <c r="G73" i="24" s="1"/>
  <c r="F72" i="24"/>
  <c r="C72" i="24" s="1"/>
  <c r="F71" i="24"/>
  <c r="C71" i="24" s="1"/>
  <c r="G71" i="24" s="1"/>
  <c r="D68" i="24"/>
  <c r="B68" i="24"/>
  <c r="F67" i="24"/>
  <c r="C67" i="24" s="1"/>
  <c r="G67" i="24" s="1"/>
  <c r="F66" i="24"/>
  <c r="C66" i="24" s="1"/>
  <c r="G66" i="24" s="1"/>
  <c r="F65" i="24"/>
  <c r="C65" i="24" s="1"/>
  <c r="G65" i="24" s="1"/>
  <c r="F64" i="24"/>
  <c r="C64" i="24" s="1"/>
  <c r="G64" i="24" s="1"/>
  <c r="F63" i="24"/>
  <c r="C63" i="24" s="1"/>
  <c r="G63" i="24" s="1"/>
  <c r="F62" i="24"/>
  <c r="C62" i="24" s="1"/>
  <c r="G62" i="24" s="1"/>
  <c r="F61" i="24"/>
  <c r="E59" i="24"/>
  <c r="D59" i="24"/>
  <c r="B59" i="24"/>
  <c r="F58" i="24"/>
  <c r="C58" i="24" s="1"/>
  <c r="G58" i="24" s="1"/>
  <c r="F57" i="24"/>
  <c r="F59" i="24" s="1"/>
  <c r="E55" i="24"/>
  <c r="D55" i="24"/>
  <c r="B55" i="24"/>
  <c r="F54" i="24"/>
  <c r="C54" i="24" s="1"/>
  <c r="G54" i="24" s="1"/>
  <c r="F53" i="24"/>
  <c r="C53" i="24" s="1"/>
  <c r="G53" i="24" s="1"/>
  <c r="F52" i="24"/>
  <c r="C52" i="24" s="1"/>
  <c r="G52" i="24" s="1"/>
  <c r="F51" i="24"/>
  <c r="C51" i="24" s="1"/>
  <c r="G51" i="24" s="1"/>
  <c r="F50" i="24"/>
  <c r="C50" i="24" s="1"/>
  <c r="G50" i="24" s="1"/>
  <c r="F49" i="24"/>
  <c r="C49" i="24" s="1"/>
  <c r="G49" i="24" s="1"/>
  <c r="F48" i="24"/>
  <c r="E46" i="24"/>
  <c r="D46" i="24"/>
  <c r="B46" i="24"/>
  <c r="F45" i="24"/>
  <c r="C45" i="24"/>
  <c r="G45" i="24" s="1"/>
  <c r="F44" i="24"/>
  <c r="C44" i="24" s="1"/>
  <c r="G44" i="24" s="1"/>
  <c r="F43" i="24"/>
  <c r="C43" i="24" s="1"/>
  <c r="D41" i="24"/>
  <c r="B41" i="24"/>
  <c r="F40" i="24"/>
  <c r="C40" i="24" s="1"/>
  <c r="G40" i="24" s="1"/>
  <c r="F39" i="24"/>
  <c r="C39" i="24"/>
  <c r="D37" i="24"/>
  <c r="B37" i="24"/>
  <c r="F36" i="24"/>
  <c r="C36" i="24"/>
  <c r="G36" i="24" s="1"/>
  <c r="F35" i="24"/>
  <c r="C35" i="24"/>
  <c r="G35" i="24" s="1"/>
  <c r="F34" i="24"/>
  <c r="C34" i="24" s="1"/>
  <c r="G34" i="24" s="1"/>
  <c r="F33" i="24"/>
  <c r="C33" i="24" s="1"/>
  <c r="G33" i="24" s="1"/>
  <c r="F32" i="24"/>
  <c r="C32" i="24"/>
  <c r="D30" i="24"/>
  <c r="B30" i="24"/>
  <c r="F29" i="24"/>
  <c r="C29" i="24"/>
  <c r="G29" i="24" s="1"/>
  <c r="F28" i="24"/>
  <c r="C28" i="24"/>
  <c r="G28" i="24" s="1"/>
  <c r="F27" i="24"/>
  <c r="C27" i="24" s="1"/>
  <c r="G27" i="24" s="1"/>
  <c r="F26" i="24"/>
  <c r="C26" i="24" s="1"/>
  <c r="G26" i="24" s="1"/>
  <c r="F25" i="24"/>
  <c r="C25" i="24"/>
  <c r="G25" i="24" s="1"/>
  <c r="F24" i="24"/>
  <c r="C24" i="24"/>
  <c r="G24" i="24" s="1"/>
  <c r="C23" i="24"/>
  <c r="G23" i="24" s="1"/>
  <c r="C97" i="28"/>
  <c r="G97" i="28" s="1"/>
  <c r="F77" i="28"/>
  <c r="C75" i="28"/>
  <c r="G75" i="28" s="1"/>
  <c r="B98" i="28"/>
  <c r="C54" i="28"/>
  <c r="G54" i="28" s="1"/>
  <c r="F65" i="28"/>
  <c r="C65" i="28" s="1"/>
  <c r="F66" i="28"/>
  <c r="F67" i="28"/>
  <c r="F68" i="28"/>
  <c r="C44" i="28"/>
  <c r="C36" i="28"/>
  <c r="G36" i="28" s="1"/>
  <c r="F80" i="28" l="1"/>
  <c r="C77" i="32"/>
  <c r="G71" i="32"/>
  <c r="G77" i="32" s="1"/>
  <c r="C37" i="32"/>
  <c r="C68" i="32"/>
  <c r="C96" i="32"/>
  <c r="C101" i="32"/>
  <c r="G37" i="32"/>
  <c r="G44" i="32"/>
  <c r="G46" i="32" s="1"/>
  <c r="C46" i="32"/>
  <c r="C30" i="32"/>
  <c r="C84" i="32"/>
  <c r="G79" i="32"/>
  <c r="G84" i="32" s="1"/>
  <c r="B112" i="32"/>
  <c r="C48" i="32"/>
  <c r="F77" i="32"/>
  <c r="F30" i="32"/>
  <c r="G23" i="32"/>
  <c r="G30" i="32" s="1"/>
  <c r="G57" i="32"/>
  <c r="G59" i="32" s="1"/>
  <c r="F59" i="32"/>
  <c r="G61" i="32"/>
  <c r="G68" i="32" s="1"/>
  <c r="F84" i="32"/>
  <c r="F111" i="32" s="1"/>
  <c r="G86" i="32"/>
  <c r="G96" i="32" s="1"/>
  <c r="G98" i="32"/>
  <c r="G101" i="32" s="1"/>
  <c r="F37" i="32"/>
  <c r="F68" i="32"/>
  <c r="C103" i="32"/>
  <c r="F30" i="24"/>
  <c r="F41" i="24"/>
  <c r="F101" i="24"/>
  <c r="F37" i="24"/>
  <c r="F69" i="24" s="1"/>
  <c r="C46" i="24"/>
  <c r="F68" i="24"/>
  <c r="F46" i="24"/>
  <c r="F55" i="24"/>
  <c r="F77" i="24"/>
  <c r="F96" i="24"/>
  <c r="D111" i="24"/>
  <c r="D112" i="24" s="1"/>
  <c r="D69" i="24"/>
  <c r="B69" i="24"/>
  <c r="C57" i="24"/>
  <c r="G57" i="24" s="1"/>
  <c r="G59" i="24" s="1"/>
  <c r="F84" i="24"/>
  <c r="C98" i="24"/>
  <c r="G98" i="24" s="1"/>
  <c r="B111" i="24"/>
  <c r="G30" i="24"/>
  <c r="C77" i="24"/>
  <c r="B112" i="24"/>
  <c r="C37" i="24"/>
  <c r="C41" i="24"/>
  <c r="G84" i="24"/>
  <c r="C110" i="24"/>
  <c r="C30" i="24"/>
  <c r="F110" i="24"/>
  <c r="G32" i="24"/>
  <c r="G37" i="24" s="1"/>
  <c r="G39" i="24"/>
  <c r="G41" i="24" s="1"/>
  <c r="G43" i="24"/>
  <c r="G46" i="24" s="1"/>
  <c r="C61" i="24"/>
  <c r="G72" i="24"/>
  <c r="G77" i="24" s="1"/>
  <c r="C84" i="24"/>
  <c r="C48" i="24"/>
  <c r="G99" i="24"/>
  <c r="G103" i="24"/>
  <c r="G110" i="24" s="1"/>
  <c r="C88" i="24"/>
  <c r="G88" i="24" s="1"/>
  <c r="G96" i="24" s="1"/>
  <c r="E56" i="28"/>
  <c r="D56" i="28"/>
  <c r="C110" i="32" l="1"/>
  <c r="C111" i="32" s="1"/>
  <c r="G103" i="32"/>
  <c r="G110" i="32" s="1"/>
  <c r="G111" i="32" s="1"/>
  <c r="G112" i="32" s="1"/>
  <c r="C55" i="32"/>
  <c r="G48" i="32"/>
  <c r="G55" i="32" s="1"/>
  <c r="G69" i="32"/>
  <c r="F69" i="32"/>
  <c r="F112" i="32" s="1"/>
  <c r="C69" i="32"/>
  <c r="C59" i="24"/>
  <c r="G101" i="24"/>
  <c r="C101" i="24"/>
  <c r="F111" i="24"/>
  <c r="F112" i="24" s="1"/>
  <c r="C68" i="24"/>
  <c r="G61" i="24"/>
  <c r="G68" i="24" s="1"/>
  <c r="C96" i="24"/>
  <c r="C111" i="24" s="1"/>
  <c r="C55" i="24"/>
  <c r="C69" i="24" s="1"/>
  <c r="G48" i="24"/>
  <c r="G55" i="24" s="1"/>
  <c r="G69" i="24" s="1"/>
  <c r="G111" i="24"/>
  <c r="E181" i="9"/>
  <c r="E144" i="9"/>
  <c r="E143" i="9"/>
  <c r="E142" i="9"/>
  <c r="E140" i="9"/>
  <c r="E134" i="9"/>
  <c r="C112" i="32" l="1"/>
  <c r="C112" i="24"/>
  <c r="G112" i="24"/>
  <c r="E31" i="11"/>
  <c r="E100" i="9"/>
  <c r="E192" i="5" l="1"/>
  <c r="E84" i="17"/>
  <c r="E188" i="9"/>
  <c r="D188" i="9" s="1"/>
  <c r="E186" i="9"/>
  <c r="D186" i="9" s="1"/>
  <c r="E72" i="1"/>
  <c r="D72" i="1" s="1"/>
  <c r="E28" i="1"/>
  <c r="E27" i="1"/>
  <c r="E26" i="1"/>
  <c r="D141" i="9"/>
  <c r="D139" i="9"/>
  <c r="E76" i="1" l="1"/>
  <c r="D76" i="1" s="1"/>
  <c r="E65" i="9"/>
  <c r="E53" i="9"/>
  <c r="E16" i="9"/>
  <c r="E179" i="5" l="1"/>
  <c r="E199" i="9" l="1"/>
  <c r="D15" i="9" l="1"/>
  <c r="E15" i="9"/>
  <c r="E12" i="9" s="1"/>
  <c r="D14" i="9"/>
  <c r="E10" i="9" l="1"/>
  <c r="D10" i="9" s="1"/>
  <c r="D12" i="9"/>
  <c r="D14" i="10" l="1"/>
  <c r="F185" i="28" l="1"/>
  <c r="E80" i="17" l="1"/>
  <c r="F80" i="17"/>
  <c r="H80" i="17"/>
  <c r="I80" i="17"/>
  <c r="E32" i="17"/>
  <c r="F32" i="17"/>
  <c r="H32" i="17"/>
  <c r="I32" i="17"/>
  <c r="E188" i="5"/>
  <c r="D188" i="5" s="1"/>
  <c r="H188" i="5"/>
  <c r="G188" i="5" s="1"/>
  <c r="D143" i="5"/>
  <c r="G143" i="5"/>
  <c r="D48" i="5"/>
  <c r="G48" i="5"/>
  <c r="E77" i="13"/>
  <c r="D77" i="13" s="1"/>
  <c r="E32" i="13"/>
  <c r="D32" i="13" s="1"/>
  <c r="E184" i="10"/>
  <c r="D184" i="10" s="1"/>
  <c r="D139" i="10"/>
  <c r="D44" i="10"/>
  <c r="E77" i="30"/>
  <c r="D77" i="30" s="1"/>
  <c r="E32" i="30"/>
  <c r="D32" i="30" s="1"/>
  <c r="E193" i="11"/>
  <c r="D193" i="11"/>
  <c r="D148" i="11"/>
  <c r="D53" i="11"/>
  <c r="E32" i="1"/>
  <c r="D32" i="1" s="1"/>
  <c r="E192" i="9"/>
  <c r="D192" i="9" s="1"/>
  <c r="D145" i="9"/>
  <c r="D48" i="9"/>
  <c r="E80" i="1" l="1"/>
  <c r="D80" i="1" s="1"/>
  <c r="G80" i="17"/>
  <c r="G32" i="17"/>
  <c r="D32" i="17"/>
  <c r="D80" i="17"/>
  <c r="I62" i="6"/>
  <c r="F62" i="6"/>
  <c r="G65" i="6"/>
  <c r="D65" i="6"/>
  <c r="G64" i="5"/>
  <c r="D64" i="5"/>
  <c r="D60" i="10"/>
  <c r="D69" i="11"/>
  <c r="D64" i="9"/>
  <c r="D62" i="6" l="1"/>
  <c r="G90" i="6" l="1"/>
  <c r="I87" i="6"/>
  <c r="H87" i="6" s="1"/>
  <c r="G87" i="6" s="1"/>
  <c r="E87" i="6" s="1"/>
  <c r="D90" i="6"/>
  <c r="G89" i="5"/>
  <c r="G87" i="5"/>
  <c r="D89" i="5"/>
  <c r="D90" i="5"/>
  <c r="G90" i="5"/>
  <c r="G86" i="5" s="1"/>
  <c r="F82" i="10"/>
  <c r="D85" i="10"/>
  <c r="D83" i="10"/>
  <c r="F91" i="11"/>
  <c r="D94" i="11"/>
  <c r="F86" i="9"/>
  <c r="E86" i="9"/>
  <c r="D86" i="9" s="1"/>
  <c r="D89" i="9"/>
  <c r="E48" i="11" l="1"/>
  <c r="F76" i="17" l="1"/>
  <c r="D76" i="17" s="1"/>
  <c r="I76" i="17"/>
  <c r="G76" i="17" s="1"/>
  <c r="F74" i="17"/>
  <c r="I74" i="17"/>
  <c r="E72" i="17"/>
  <c r="F72" i="17"/>
  <c r="H72" i="17"/>
  <c r="I72" i="17"/>
  <c r="F28" i="17"/>
  <c r="H28" i="17"/>
  <c r="I28" i="17"/>
  <c r="E26" i="17"/>
  <c r="F26" i="17"/>
  <c r="H26" i="17"/>
  <c r="I26" i="17"/>
  <c r="E24" i="17"/>
  <c r="F24" i="17"/>
  <c r="H24" i="17"/>
  <c r="I24" i="17"/>
  <c r="D44" i="5"/>
  <c r="G44" i="5"/>
  <c r="D42" i="5"/>
  <c r="G42" i="5"/>
  <c r="D40" i="5"/>
  <c r="G40" i="5"/>
  <c r="E28" i="13"/>
  <c r="D28" i="13" s="1"/>
  <c r="E26" i="13"/>
  <c r="D26" i="13" s="1"/>
  <c r="E24" i="13"/>
  <c r="D24" i="13" s="1"/>
  <c r="D40" i="10"/>
  <c r="D38" i="10"/>
  <c r="D36" i="10"/>
  <c r="E28" i="30"/>
  <c r="D28" i="30" s="1"/>
  <c r="E26" i="30"/>
  <c r="D26" i="30" s="1"/>
  <c r="E24" i="30"/>
  <c r="D24" i="30" s="1"/>
  <c r="D49" i="11"/>
  <c r="D47" i="11"/>
  <c r="D45" i="11"/>
  <c r="D28" i="1"/>
  <c r="D26" i="1"/>
  <c r="E24" i="1"/>
  <c r="D24" i="1" s="1"/>
  <c r="D44" i="9"/>
  <c r="D42" i="9"/>
  <c r="D40" i="9"/>
  <c r="G26" i="17" l="1"/>
  <c r="G28" i="17"/>
  <c r="G72" i="17"/>
  <c r="D72" i="17"/>
  <c r="G24" i="17"/>
  <c r="D28" i="17"/>
  <c r="D24" i="17"/>
  <c r="D26" i="17"/>
  <c r="C29" i="28" l="1"/>
  <c r="G29" i="28" s="1"/>
  <c r="F56" i="28"/>
  <c r="F30" i="28"/>
  <c r="F31" i="28" s="1"/>
  <c r="C110" i="28"/>
  <c r="G110" i="28" s="1"/>
  <c r="C111" i="28"/>
  <c r="G111" i="28" s="1"/>
  <c r="E20" i="1" l="1"/>
  <c r="F299" i="24" l="1"/>
  <c r="F264" i="24" l="1"/>
  <c r="F168" i="24" l="1"/>
  <c r="F164" i="24"/>
  <c r="F246" i="24" l="1"/>
  <c r="F216" i="24"/>
  <c r="F209" i="24"/>
  <c r="F206" i="24"/>
  <c r="F204" i="24"/>
  <c r="F203" i="24"/>
  <c r="F202" i="24"/>
  <c r="F201" i="24"/>
  <c r="F200" i="24"/>
  <c r="F199" i="24"/>
  <c r="F198" i="24"/>
  <c r="F197" i="24"/>
  <c r="F196" i="24"/>
  <c r="F195" i="24"/>
  <c r="F167" i="24"/>
  <c r="F163" i="24"/>
  <c r="E53" i="5"/>
  <c r="F322" i="28"/>
  <c r="F232" i="28"/>
  <c r="F157" i="28" l="1"/>
  <c r="F138" i="15" l="1"/>
  <c r="F335" i="28"/>
  <c r="F33" i="29" l="1"/>
  <c r="F34" i="29" s="1"/>
  <c r="E34" i="10"/>
  <c r="E31" i="10"/>
  <c r="E25" i="10"/>
  <c r="E61" i="10"/>
  <c r="E75" i="10"/>
  <c r="D15" i="10"/>
  <c r="C78" i="28" l="1"/>
  <c r="G78" i="28" s="1"/>
  <c r="B112" i="28"/>
  <c r="B103" i="28"/>
  <c r="D98" i="28"/>
  <c r="E86" i="28"/>
  <c r="D86" i="28"/>
  <c r="B86" i="28"/>
  <c r="D47" i="28"/>
  <c r="D60" i="28"/>
  <c r="D38" i="28"/>
  <c r="C33" i="28"/>
  <c r="G33" i="28" l="1"/>
  <c r="B113" i="28"/>
  <c r="C109" i="28" l="1"/>
  <c r="G109" i="28" s="1"/>
  <c r="C108" i="28"/>
  <c r="G108" i="28" s="1"/>
  <c r="C107" i="28"/>
  <c r="G107" i="28" s="1"/>
  <c r="C79" i="28"/>
  <c r="C105" i="28"/>
  <c r="E103" i="28"/>
  <c r="D103" i="28"/>
  <c r="C96" i="28"/>
  <c r="G96" i="28" s="1"/>
  <c r="C102" i="28"/>
  <c r="G102" i="28" s="1"/>
  <c r="C101" i="28"/>
  <c r="G101" i="28" s="1"/>
  <c r="E98" i="28"/>
  <c r="C95" i="28"/>
  <c r="G95" i="28" s="1"/>
  <c r="C93" i="28"/>
  <c r="G93" i="28" s="1"/>
  <c r="C92" i="28"/>
  <c r="G92" i="28" s="1"/>
  <c r="C91" i="28"/>
  <c r="G91" i="28" s="1"/>
  <c r="C90" i="28"/>
  <c r="G90" i="28" s="1"/>
  <c r="C89" i="28"/>
  <c r="G89" i="28" s="1"/>
  <c r="C84" i="28"/>
  <c r="G84" i="28" s="1"/>
  <c r="C83" i="28"/>
  <c r="E80" i="28"/>
  <c r="C77" i="28"/>
  <c r="C85" i="28"/>
  <c r="G85" i="28" s="1"/>
  <c r="C76" i="28"/>
  <c r="G76" i="28" s="1"/>
  <c r="C74" i="28"/>
  <c r="G74" i="28" s="1"/>
  <c r="C69" i="28"/>
  <c r="G69" i="28" s="1"/>
  <c r="C68" i="28"/>
  <c r="G68" i="28" s="1"/>
  <c r="C67" i="28"/>
  <c r="G67" i="28" s="1"/>
  <c r="C66" i="28"/>
  <c r="G66" i="28" s="1"/>
  <c r="G65" i="28"/>
  <c r="C30" i="28"/>
  <c r="C62" i="28"/>
  <c r="E60" i="28"/>
  <c r="C55" i="28"/>
  <c r="G55" i="28" s="1"/>
  <c r="C59" i="28"/>
  <c r="G59" i="28" s="1"/>
  <c r="C58" i="28"/>
  <c r="C52" i="28"/>
  <c r="G52" i="28" s="1"/>
  <c r="C51" i="28"/>
  <c r="G51" i="28" s="1"/>
  <c r="C50" i="28"/>
  <c r="G50" i="28" s="1"/>
  <c r="E47" i="28"/>
  <c r="C45" i="28"/>
  <c r="D42" i="28"/>
  <c r="C41" i="28"/>
  <c r="G41" i="28" s="1"/>
  <c r="C46" i="28"/>
  <c r="G46" i="28" s="1"/>
  <c r="C37" i="28"/>
  <c r="G37" i="28" s="1"/>
  <c r="C53" i="28"/>
  <c r="G53" i="28" s="1"/>
  <c r="C35" i="28"/>
  <c r="G35" i="28" s="1"/>
  <c r="C28" i="28"/>
  <c r="C27" i="28"/>
  <c r="G27" i="28" s="1"/>
  <c r="C26" i="28"/>
  <c r="G26" i="28" s="1"/>
  <c r="C25" i="28"/>
  <c r="G25" i="28" s="1"/>
  <c r="C24" i="28"/>
  <c r="G24" i="28" s="1"/>
  <c r="G45" i="28" l="1"/>
  <c r="C47" i="28"/>
  <c r="G30" i="28"/>
  <c r="D71" i="28"/>
  <c r="G28" i="28"/>
  <c r="G79" i="28"/>
  <c r="C112" i="28"/>
  <c r="C94" i="28"/>
  <c r="G94" i="28" s="1"/>
  <c r="F98" i="28"/>
  <c r="D113" i="28"/>
  <c r="G77" i="28"/>
  <c r="C82" i="28"/>
  <c r="C86" i="28" s="1"/>
  <c r="F86" i="28"/>
  <c r="C60" i="28"/>
  <c r="C70" i="28"/>
  <c r="B71" i="28"/>
  <c r="F47" i="28"/>
  <c r="C49" i="28"/>
  <c r="C56" i="28" s="1"/>
  <c r="F42" i="28"/>
  <c r="F103" i="28"/>
  <c r="C34" i="28"/>
  <c r="C38" i="28" s="1"/>
  <c r="F38" i="28"/>
  <c r="C40" i="28"/>
  <c r="C42" i="28" s="1"/>
  <c r="F60" i="28"/>
  <c r="G62" i="28"/>
  <c r="G70" i="28" s="1"/>
  <c r="G83" i="28"/>
  <c r="G105" i="28"/>
  <c r="F112" i="28"/>
  <c r="C23" i="28"/>
  <c r="C31" i="28" s="1"/>
  <c r="C73" i="28"/>
  <c r="C80" i="28" s="1"/>
  <c r="C88" i="28"/>
  <c r="G58" i="28"/>
  <c r="G60" i="28" s="1"/>
  <c r="F70" i="28"/>
  <c r="C100" i="28"/>
  <c r="C103" i="28" s="1"/>
  <c r="G112" i="28" l="1"/>
  <c r="C98" i="28"/>
  <c r="C113" i="28" s="1"/>
  <c r="F71" i="28"/>
  <c r="F113" i="28"/>
  <c r="G44" i="28"/>
  <c r="G47" i="28" s="1"/>
  <c r="G40" i="28"/>
  <c r="G42" i="28" s="1"/>
  <c r="G49" i="28"/>
  <c r="G56" i="28" s="1"/>
  <c r="G82" i="28"/>
  <c r="G86" i="28" s="1"/>
  <c r="G34" i="28"/>
  <c r="G38" i="28" s="1"/>
  <c r="G23" i="28"/>
  <c r="G31" i="28" s="1"/>
  <c r="G88" i="28"/>
  <c r="G98" i="28" s="1"/>
  <c r="G100" i="28"/>
  <c r="G103" i="28" s="1"/>
  <c r="G73" i="28"/>
  <c r="G80" i="28" s="1"/>
  <c r="G113" i="28" l="1"/>
  <c r="C71" i="28"/>
  <c r="C114" i="28" s="1"/>
  <c r="G71" i="28"/>
  <c r="H114" i="28" l="1"/>
  <c r="I114" i="28" s="1"/>
  <c r="D125" i="28"/>
  <c r="D13" i="11" l="1"/>
  <c r="F11" i="15" s="1"/>
  <c r="F141" i="28" l="1"/>
  <c r="F200" i="28" l="1"/>
  <c r="D8" i="10" l="1"/>
  <c r="E213" i="6"/>
  <c r="D213" i="6" s="1"/>
  <c r="H213" i="6"/>
  <c r="G213" i="6" s="1"/>
  <c r="E196" i="6"/>
  <c r="D196" i="6" s="1"/>
  <c r="H196" i="6"/>
  <c r="G196" i="6" s="1"/>
  <c r="I161" i="6"/>
  <c r="H161" i="6"/>
  <c r="F161" i="6"/>
  <c r="E161" i="6"/>
  <c r="D169" i="6"/>
  <c r="G169" i="6"/>
  <c r="D152" i="6"/>
  <c r="G152" i="6"/>
  <c r="D151" i="6"/>
  <c r="I96" i="6"/>
  <c r="H96" i="6"/>
  <c r="F96" i="6"/>
  <c r="E96" i="6"/>
  <c r="D104" i="6"/>
  <c r="G104" i="6"/>
  <c r="D60" i="6"/>
  <c r="D61" i="6"/>
  <c r="G61" i="6"/>
  <c r="F106" i="17"/>
  <c r="I106" i="17"/>
  <c r="F89" i="17"/>
  <c r="I89" i="17"/>
  <c r="E58" i="17"/>
  <c r="F58" i="17"/>
  <c r="H58" i="17"/>
  <c r="I58" i="17"/>
  <c r="E214" i="5"/>
  <c r="E106" i="17" s="1"/>
  <c r="H214" i="5"/>
  <c r="G214" i="5" s="1"/>
  <c r="E197" i="5"/>
  <c r="E89" i="17" s="1"/>
  <c r="E196" i="5"/>
  <c r="H197" i="5"/>
  <c r="G197" i="5" s="1"/>
  <c r="I161" i="5"/>
  <c r="H161" i="5"/>
  <c r="G161" i="5" s="1"/>
  <c r="F161" i="5"/>
  <c r="E161" i="5"/>
  <c r="D161" i="5" s="1"/>
  <c r="D169" i="5"/>
  <c r="G169" i="5"/>
  <c r="D168" i="5"/>
  <c r="D152" i="5"/>
  <c r="G152" i="5"/>
  <c r="D151" i="5"/>
  <c r="G103" i="5"/>
  <c r="D103" i="5"/>
  <c r="H95" i="5"/>
  <c r="E95" i="5"/>
  <c r="D60" i="5"/>
  <c r="G60" i="5"/>
  <c r="E58" i="13"/>
  <c r="D58" i="13" s="1"/>
  <c r="E41" i="13"/>
  <c r="D41" i="13" s="1"/>
  <c r="E210" i="10"/>
  <c r="E103" i="13" s="1"/>
  <c r="D103" i="13" s="1"/>
  <c r="E193" i="10"/>
  <c r="E86" i="13" s="1"/>
  <c r="D86" i="13" s="1"/>
  <c r="E91" i="10"/>
  <c r="D193" i="10"/>
  <c r="E192" i="10"/>
  <c r="D165" i="10"/>
  <c r="D148" i="10"/>
  <c r="D147" i="10"/>
  <c r="D99" i="10"/>
  <c r="D98" i="10"/>
  <c r="D56" i="10"/>
  <c r="D197" i="5" l="1"/>
  <c r="H89" i="17"/>
  <c r="G89" i="17" s="1"/>
  <c r="H106" i="17"/>
  <c r="G106" i="17" s="1"/>
  <c r="D214" i="5"/>
  <c r="D89" i="17"/>
  <c r="G58" i="17"/>
  <c r="D106" i="17"/>
  <c r="D210" i="10"/>
  <c r="D58" i="17"/>
  <c r="D55" i="10"/>
  <c r="E86" i="30"/>
  <c r="D86" i="30" s="1"/>
  <c r="F87" i="30"/>
  <c r="E58" i="30"/>
  <c r="D58" i="30" s="1"/>
  <c r="E41" i="30"/>
  <c r="D41" i="30" s="1"/>
  <c r="E219" i="11"/>
  <c r="E103" i="30" s="1"/>
  <c r="D103" i="30" s="1"/>
  <c r="E202" i="11"/>
  <c r="D202" i="11"/>
  <c r="E137" i="11"/>
  <c r="E162" i="11"/>
  <c r="E166" i="11"/>
  <c r="D166" i="11"/>
  <c r="D174" i="11"/>
  <c r="D157" i="11"/>
  <c r="D156" i="11"/>
  <c r="E100" i="11"/>
  <c r="D108" i="11"/>
  <c r="D107" i="11"/>
  <c r="D65" i="11"/>
  <c r="E58" i="1"/>
  <c r="D58" i="1" s="1"/>
  <c r="E41" i="1"/>
  <c r="D41" i="1" s="1"/>
  <c r="E218" i="9"/>
  <c r="D218" i="9" s="1"/>
  <c r="E201" i="9"/>
  <c r="E200" i="9"/>
  <c r="D201" i="9"/>
  <c r="E163" i="9"/>
  <c r="E95" i="9"/>
  <c r="D154" i="9"/>
  <c r="D171" i="9"/>
  <c r="D170" i="9"/>
  <c r="E217" i="9"/>
  <c r="D217" i="9" s="1"/>
  <c r="E89" i="1"/>
  <c r="D89" i="1" s="1"/>
  <c r="D103" i="9"/>
  <c r="D60" i="9"/>
  <c r="D219" i="11" l="1"/>
  <c r="E106" i="1"/>
  <c r="D106" i="1" s="1"/>
  <c r="D8" i="9"/>
  <c r="I95" i="18" l="1"/>
  <c r="I94" i="18"/>
  <c r="I93" i="18"/>
  <c r="I92" i="18"/>
  <c r="I91" i="18"/>
  <c r="I90" i="18"/>
  <c r="I89" i="18"/>
  <c r="F95" i="18"/>
  <c r="F94" i="18"/>
  <c r="F93" i="18"/>
  <c r="F92" i="18"/>
  <c r="F91" i="18"/>
  <c r="F90" i="18"/>
  <c r="F89" i="18"/>
  <c r="I86" i="18"/>
  <c r="I85" i="18"/>
  <c r="F86" i="18"/>
  <c r="F85" i="18"/>
  <c r="I82" i="18"/>
  <c r="I81" i="18"/>
  <c r="F82" i="18"/>
  <c r="F81" i="18"/>
  <c r="I74" i="18"/>
  <c r="I73" i="18"/>
  <c r="I78" i="18"/>
  <c r="I77" i="18"/>
  <c r="I76" i="18"/>
  <c r="F78" i="18"/>
  <c r="F77" i="18"/>
  <c r="F76" i="18"/>
  <c r="F74" i="18"/>
  <c r="F73" i="18"/>
  <c r="I71" i="18"/>
  <c r="F71" i="18"/>
  <c r="I70" i="18"/>
  <c r="I69" i="18"/>
  <c r="I68" i="18"/>
  <c r="I67" i="18"/>
  <c r="I66" i="18"/>
  <c r="F70" i="18"/>
  <c r="F69" i="18"/>
  <c r="F68" i="18"/>
  <c r="F67" i="18"/>
  <c r="F66" i="18"/>
  <c r="I63" i="18"/>
  <c r="I62" i="18"/>
  <c r="F63" i="18"/>
  <c r="F62" i="18"/>
  <c r="I59" i="18"/>
  <c r="F59" i="18"/>
  <c r="I53" i="18"/>
  <c r="H53" i="18"/>
  <c r="I52" i="18"/>
  <c r="H52" i="18"/>
  <c r="I51" i="18"/>
  <c r="H51" i="18"/>
  <c r="I50" i="18"/>
  <c r="H50" i="18"/>
  <c r="I49" i="18"/>
  <c r="H49" i="18"/>
  <c r="I48" i="18"/>
  <c r="H48" i="18"/>
  <c r="I47" i="18"/>
  <c r="H47" i="18"/>
  <c r="F53" i="18"/>
  <c r="E53" i="18"/>
  <c r="F52" i="18"/>
  <c r="E52" i="18"/>
  <c r="F51" i="18"/>
  <c r="E51" i="18"/>
  <c r="F50" i="18"/>
  <c r="E50" i="18"/>
  <c r="F49" i="18"/>
  <c r="E49" i="18"/>
  <c r="F48" i="18"/>
  <c r="E48" i="18"/>
  <c r="F47" i="18"/>
  <c r="E47" i="18"/>
  <c r="I44" i="18"/>
  <c r="H44" i="18"/>
  <c r="I43" i="18"/>
  <c r="H43" i="18"/>
  <c r="F44" i="18"/>
  <c r="E44" i="18"/>
  <c r="F43" i="18"/>
  <c r="E43" i="18"/>
  <c r="I40" i="18"/>
  <c r="H40" i="18"/>
  <c r="I39" i="18"/>
  <c r="H39" i="18"/>
  <c r="F40" i="18"/>
  <c r="E40" i="18"/>
  <c r="F39" i="18"/>
  <c r="E39" i="18"/>
  <c r="I36" i="18"/>
  <c r="H36" i="18"/>
  <c r="I35" i="18"/>
  <c r="H35" i="18"/>
  <c r="I34" i="18"/>
  <c r="H34" i="18"/>
  <c r="F36" i="18"/>
  <c r="E36" i="18"/>
  <c r="F35" i="18"/>
  <c r="E35" i="18"/>
  <c r="F34" i="18"/>
  <c r="E34" i="18"/>
  <c r="I32" i="18"/>
  <c r="H32" i="18"/>
  <c r="I31" i="18"/>
  <c r="H31" i="18"/>
  <c r="F32" i="18"/>
  <c r="E32" i="18"/>
  <c r="F31" i="18"/>
  <c r="E31" i="18"/>
  <c r="I29" i="18"/>
  <c r="H29" i="18"/>
  <c r="F29" i="18"/>
  <c r="E29" i="18"/>
  <c r="I28" i="18"/>
  <c r="H28" i="18"/>
  <c r="F28" i="18"/>
  <c r="E28" i="18"/>
  <c r="I27" i="18"/>
  <c r="H27" i="18"/>
  <c r="F27" i="18"/>
  <c r="E27" i="18"/>
  <c r="I26" i="18"/>
  <c r="H26" i="18"/>
  <c r="F26" i="18"/>
  <c r="E26" i="18"/>
  <c r="I25" i="18"/>
  <c r="H25" i="18"/>
  <c r="F25" i="18"/>
  <c r="E25" i="18"/>
  <c r="I24" i="18"/>
  <c r="H24" i="18"/>
  <c r="F24" i="18"/>
  <c r="E24" i="18"/>
  <c r="I21" i="18"/>
  <c r="H21" i="18"/>
  <c r="F21" i="18"/>
  <c r="E21" i="18"/>
  <c r="I20" i="18"/>
  <c r="H20" i="18"/>
  <c r="F20" i="18"/>
  <c r="E20" i="18"/>
  <c r="I17" i="18"/>
  <c r="H17" i="18"/>
  <c r="F17" i="18"/>
  <c r="E17" i="18"/>
  <c r="I107" i="17"/>
  <c r="I105" i="17"/>
  <c r="I104" i="17"/>
  <c r="I103" i="17"/>
  <c r="I102" i="17"/>
  <c r="I101" i="17"/>
  <c r="I100" i="17"/>
  <c r="I97" i="17"/>
  <c r="I96" i="17"/>
  <c r="I93" i="17"/>
  <c r="I92" i="17"/>
  <c r="I88" i="17"/>
  <c r="I87" i="17"/>
  <c r="I86" i="17"/>
  <c r="I84" i="17"/>
  <c r="I83" i="17"/>
  <c r="I81" i="17"/>
  <c r="I79" i="17"/>
  <c r="I78" i="17"/>
  <c r="I77" i="17"/>
  <c r="I75" i="17"/>
  <c r="I73" i="17"/>
  <c r="I69" i="17"/>
  <c r="I68" i="17"/>
  <c r="I65" i="17"/>
  <c r="I59" i="17"/>
  <c r="H59" i="17"/>
  <c r="I57" i="17"/>
  <c r="H57" i="17"/>
  <c r="I56" i="17"/>
  <c r="H56" i="17"/>
  <c r="I55" i="17"/>
  <c r="H55" i="17"/>
  <c r="I54" i="17"/>
  <c r="H54" i="17"/>
  <c r="I53" i="17"/>
  <c r="H53" i="17"/>
  <c r="I52" i="17"/>
  <c r="H52" i="17"/>
  <c r="I49" i="17"/>
  <c r="H49" i="17"/>
  <c r="I48" i="17"/>
  <c r="H48" i="17"/>
  <c r="I45" i="17"/>
  <c r="H45" i="17"/>
  <c r="I44" i="17"/>
  <c r="H44" i="17"/>
  <c r="I40" i="17"/>
  <c r="H40" i="17"/>
  <c r="I39" i="17"/>
  <c r="H39" i="17"/>
  <c r="I38" i="17"/>
  <c r="H38" i="17"/>
  <c r="I36" i="17"/>
  <c r="H36" i="17"/>
  <c r="I35" i="17"/>
  <c r="H35" i="17"/>
  <c r="I33" i="17"/>
  <c r="H33" i="17"/>
  <c r="I31" i="17"/>
  <c r="H31" i="17"/>
  <c r="I30" i="17"/>
  <c r="H30" i="17"/>
  <c r="I29" i="17"/>
  <c r="H29" i="17"/>
  <c r="I27" i="17"/>
  <c r="H27" i="17"/>
  <c r="I25" i="17"/>
  <c r="H25" i="17"/>
  <c r="I21" i="17"/>
  <c r="H21" i="17"/>
  <c r="I20" i="17"/>
  <c r="H20" i="17"/>
  <c r="I17" i="17"/>
  <c r="H17" i="17"/>
  <c r="F107" i="17"/>
  <c r="F105" i="17"/>
  <c r="F104" i="17"/>
  <c r="F103" i="17"/>
  <c r="F102" i="17"/>
  <c r="F101" i="17"/>
  <c r="F100" i="17"/>
  <c r="F97" i="17"/>
  <c r="F96" i="17"/>
  <c r="F93" i="17"/>
  <c r="F92" i="17"/>
  <c r="F88" i="17"/>
  <c r="F87" i="17"/>
  <c r="F86" i="17"/>
  <c r="F84" i="17"/>
  <c r="F83" i="17"/>
  <c r="F81" i="17"/>
  <c r="F79" i="17"/>
  <c r="F78" i="17"/>
  <c r="F77" i="17"/>
  <c r="F75" i="17"/>
  <c r="F73" i="17"/>
  <c r="F69" i="17"/>
  <c r="F68" i="17"/>
  <c r="F65" i="17"/>
  <c r="F59" i="17"/>
  <c r="E59" i="17"/>
  <c r="F57" i="17"/>
  <c r="E57" i="17"/>
  <c r="F56" i="17"/>
  <c r="E56" i="17"/>
  <c r="F55" i="17"/>
  <c r="E55" i="17"/>
  <c r="F54" i="17"/>
  <c r="E54" i="17"/>
  <c r="F53" i="17"/>
  <c r="E53" i="17"/>
  <c r="F52" i="17"/>
  <c r="E52" i="17"/>
  <c r="F49" i="17"/>
  <c r="E49" i="17"/>
  <c r="F48" i="17"/>
  <c r="E48" i="17"/>
  <c r="F45" i="17"/>
  <c r="E45" i="17"/>
  <c r="F44" i="17"/>
  <c r="E44" i="17"/>
  <c r="F40" i="17"/>
  <c r="E40" i="17"/>
  <c r="F39" i="17"/>
  <c r="E39" i="17"/>
  <c r="F38" i="17"/>
  <c r="E38" i="17"/>
  <c r="F36" i="17"/>
  <c r="E36" i="17"/>
  <c r="F35" i="17"/>
  <c r="E35" i="17"/>
  <c r="F33" i="17"/>
  <c r="E33" i="17"/>
  <c r="F31" i="17"/>
  <c r="E31" i="17"/>
  <c r="F30" i="17"/>
  <c r="E30" i="17"/>
  <c r="F29" i="17"/>
  <c r="E29" i="17"/>
  <c r="F27" i="17"/>
  <c r="E27" i="17"/>
  <c r="F25" i="17"/>
  <c r="E25" i="17"/>
  <c r="F21" i="17"/>
  <c r="E21" i="17"/>
  <c r="F20" i="17"/>
  <c r="E20" i="17"/>
  <c r="F17" i="17"/>
  <c r="E17" i="17"/>
  <c r="E59" i="13"/>
  <c r="E57" i="13"/>
  <c r="E56" i="13"/>
  <c r="E55" i="13"/>
  <c r="E54" i="13"/>
  <c r="E53" i="13"/>
  <c r="E52" i="13"/>
  <c r="E49" i="13"/>
  <c r="E48" i="13"/>
  <c r="E45" i="13"/>
  <c r="E44" i="13"/>
  <c r="E40" i="13"/>
  <c r="D40" i="13" s="1"/>
  <c r="E39" i="13"/>
  <c r="E38" i="13"/>
  <c r="E36" i="13"/>
  <c r="E35" i="13"/>
  <c r="E33" i="13"/>
  <c r="E31" i="13"/>
  <c r="E30" i="13"/>
  <c r="E29" i="13"/>
  <c r="E27" i="13"/>
  <c r="E25" i="13"/>
  <c r="E21" i="13"/>
  <c r="E20" i="13"/>
  <c r="E17" i="13"/>
  <c r="E59" i="30"/>
  <c r="D59" i="30" s="1"/>
  <c r="E57" i="30"/>
  <c r="D57" i="30" s="1"/>
  <c r="E56" i="30"/>
  <c r="D56" i="30" s="1"/>
  <c r="E55" i="30"/>
  <c r="D55" i="30" s="1"/>
  <c r="E54" i="30"/>
  <c r="D54" i="30" s="1"/>
  <c r="E53" i="30"/>
  <c r="D53" i="30" s="1"/>
  <c r="E52" i="30"/>
  <c r="E49" i="30"/>
  <c r="D49" i="30" s="1"/>
  <c r="E48" i="30"/>
  <c r="D48" i="30" s="1"/>
  <c r="E45" i="30"/>
  <c r="D45" i="30" s="1"/>
  <c r="E44" i="30"/>
  <c r="E40" i="30"/>
  <c r="E39" i="30"/>
  <c r="D39" i="30" s="1"/>
  <c r="E38" i="30"/>
  <c r="E36" i="30"/>
  <c r="D36" i="30" s="1"/>
  <c r="E35" i="30"/>
  <c r="D35" i="30" s="1"/>
  <c r="E33" i="30"/>
  <c r="D33" i="30" s="1"/>
  <c r="E31" i="30"/>
  <c r="D31" i="30" s="1"/>
  <c r="E30" i="30"/>
  <c r="D30" i="30" s="1"/>
  <c r="E29" i="30"/>
  <c r="D29" i="30" s="1"/>
  <c r="E27" i="30"/>
  <c r="D27" i="30" s="1"/>
  <c r="E25" i="30"/>
  <c r="D25" i="30" s="1"/>
  <c r="E21" i="30"/>
  <c r="D21" i="30" s="1"/>
  <c r="E20" i="30"/>
  <c r="E17" i="30"/>
  <c r="D17" i="30" s="1"/>
  <c r="F95" i="30"/>
  <c r="F91" i="30" s="1"/>
  <c r="D88" i="30"/>
  <c r="F82" i="30"/>
  <c r="F79" i="30"/>
  <c r="F70" i="30"/>
  <c r="F63" i="30"/>
  <c r="F50" i="30"/>
  <c r="F46" i="30"/>
  <c r="D43" i="30"/>
  <c r="F42" i="30"/>
  <c r="D40" i="30"/>
  <c r="F37" i="30"/>
  <c r="F34" i="30"/>
  <c r="F22" i="30"/>
  <c r="F15" i="30"/>
  <c r="F66" i="30" l="1"/>
  <c r="F61" i="30" s="1"/>
  <c r="E37" i="30"/>
  <c r="D37" i="30" s="1"/>
  <c r="D52" i="30"/>
  <c r="E50" i="30"/>
  <c r="D50" i="30" s="1"/>
  <c r="D20" i="30"/>
  <c r="E42" i="30"/>
  <c r="D42" i="30" s="1"/>
  <c r="F18" i="30"/>
  <c r="F13" i="30" s="1"/>
  <c r="D44" i="30"/>
  <c r="D38" i="30"/>
  <c r="E34" i="30"/>
  <c r="D34" i="30"/>
  <c r="E22" i="30"/>
  <c r="D22" i="30" s="1"/>
  <c r="E15" i="30"/>
  <c r="E59" i="1"/>
  <c r="E57" i="1"/>
  <c r="E56" i="1"/>
  <c r="E55" i="1"/>
  <c r="E54" i="1"/>
  <c r="E53" i="1"/>
  <c r="E52" i="1"/>
  <c r="E49" i="1"/>
  <c r="E48" i="1"/>
  <c r="E45" i="1"/>
  <c r="E44" i="1"/>
  <c r="E40" i="1"/>
  <c r="E39" i="1"/>
  <c r="E38" i="1"/>
  <c r="E36" i="1"/>
  <c r="D36" i="1" s="1"/>
  <c r="E35" i="1"/>
  <c r="E33" i="1"/>
  <c r="E31" i="1"/>
  <c r="E30" i="1"/>
  <c r="E29" i="1"/>
  <c r="E25" i="1"/>
  <c r="E21" i="1"/>
  <c r="D20" i="1"/>
  <c r="E17" i="1"/>
  <c r="F257" i="27"/>
  <c r="F11" i="27"/>
  <c r="F257" i="26"/>
  <c r="F11" i="24"/>
  <c r="E50" i="1" l="1"/>
  <c r="E18" i="30"/>
  <c r="D18" i="30" s="1"/>
  <c r="E46" i="30"/>
  <c r="D46" i="30" s="1"/>
  <c r="F10" i="30"/>
  <c r="D15" i="30"/>
  <c r="E13" i="30" l="1"/>
  <c r="D13" i="30" l="1"/>
  <c r="A115" i="14" l="1"/>
  <c r="F94" i="14" l="1"/>
  <c r="F93" i="14"/>
  <c r="F92" i="14"/>
  <c r="K122" i="20" l="1"/>
  <c r="H207" i="20"/>
  <c r="G207" i="20" s="1"/>
  <c r="E207" i="20"/>
  <c r="D207" i="20" s="1"/>
  <c r="H206" i="20"/>
  <c r="G206" i="20" s="1"/>
  <c r="E206" i="20"/>
  <c r="D206" i="20" s="1"/>
  <c r="H205" i="20"/>
  <c r="G205" i="20" s="1"/>
  <c r="E205" i="20"/>
  <c r="D205" i="20" s="1"/>
  <c r="H204" i="20"/>
  <c r="G204" i="20" s="1"/>
  <c r="E204" i="20"/>
  <c r="D204" i="20" s="1"/>
  <c r="H203" i="20"/>
  <c r="G203" i="20" s="1"/>
  <c r="E203" i="20"/>
  <c r="D203" i="20" s="1"/>
  <c r="H202" i="20"/>
  <c r="G202" i="20" s="1"/>
  <c r="E202" i="20"/>
  <c r="D202" i="20"/>
  <c r="H201" i="20"/>
  <c r="G201" i="20" s="1"/>
  <c r="E201" i="20"/>
  <c r="D201" i="20" s="1"/>
  <c r="I199" i="20"/>
  <c r="I195" i="20" s="1"/>
  <c r="F199" i="20"/>
  <c r="F195" i="20" s="1"/>
  <c r="H198" i="20"/>
  <c r="G198" i="20" s="1"/>
  <c r="E198" i="20"/>
  <c r="D198" i="20" s="1"/>
  <c r="H197" i="20"/>
  <c r="G197" i="20"/>
  <c r="E197" i="20"/>
  <c r="D197" i="20" s="1"/>
  <c r="H194" i="20"/>
  <c r="G194" i="20" s="1"/>
  <c r="E194" i="20"/>
  <c r="D194" i="20"/>
  <c r="H193" i="20"/>
  <c r="G193" i="20" s="1"/>
  <c r="E193" i="20"/>
  <c r="D193" i="20" s="1"/>
  <c r="G192" i="20"/>
  <c r="D192" i="20"/>
  <c r="I191" i="20"/>
  <c r="F191" i="20"/>
  <c r="E191" i="20"/>
  <c r="D191" i="20" s="1"/>
  <c r="H190" i="20"/>
  <c r="G190" i="20" s="1"/>
  <c r="E190" i="20"/>
  <c r="D190" i="20" s="1"/>
  <c r="H189" i="20"/>
  <c r="G189" i="20" s="1"/>
  <c r="E189" i="20"/>
  <c r="D189" i="20" s="1"/>
  <c r="H188" i="20"/>
  <c r="G188" i="20" s="1"/>
  <c r="E188" i="20"/>
  <c r="D188" i="20" s="1"/>
  <c r="I187" i="20"/>
  <c r="F187" i="20"/>
  <c r="H186" i="20"/>
  <c r="G186" i="20" s="1"/>
  <c r="E186" i="20"/>
  <c r="D186" i="20" s="1"/>
  <c r="H185" i="20"/>
  <c r="G185" i="20" s="1"/>
  <c r="E185" i="20"/>
  <c r="D185" i="20" s="1"/>
  <c r="D184" i="20" s="1"/>
  <c r="I184" i="20"/>
  <c r="F184" i="20"/>
  <c r="H183" i="20"/>
  <c r="G183" i="20" s="1"/>
  <c r="E183" i="20"/>
  <c r="D183" i="20" s="1"/>
  <c r="H182" i="20"/>
  <c r="G182" i="20" s="1"/>
  <c r="E182" i="20"/>
  <c r="D182" i="20" s="1"/>
  <c r="H181" i="20"/>
  <c r="G181" i="20" s="1"/>
  <c r="E181" i="20"/>
  <c r="D181" i="20" s="1"/>
  <c r="H180" i="20"/>
  <c r="G180" i="20" s="1"/>
  <c r="E180" i="20"/>
  <c r="D180" i="20" s="1"/>
  <c r="H179" i="20"/>
  <c r="G179" i="20" s="1"/>
  <c r="E179" i="20"/>
  <c r="D179" i="20" s="1"/>
  <c r="H178" i="20"/>
  <c r="G178" i="20" s="1"/>
  <c r="E178" i="20"/>
  <c r="D178" i="20" s="1"/>
  <c r="I176" i="20"/>
  <c r="F176" i="20"/>
  <c r="H175" i="20"/>
  <c r="G175" i="20" s="1"/>
  <c r="E175" i="20"/>
  <c r="D175" i="20" s="1"/>
  <c r="H174" i="20"/>
  <c r="G174" i="20" s="1"/>
  <c r="E174" i="20"/>
  <c r="D174" i="20" s="1"/>
  <c r="H171" i="20"/>
  <c r="G171" i="20" s="1"/>
  <c r="E171" i="20"/>
  <c r="D171" i="20" s="1"/>
  <c r="I169" i="20"/>
  <c r="F169" i="20"/>
  <c r="E169" i="20"/>
  <c r="G165" i="20"/>
  <c r="D165" i="20"/>
  <c r="G164" i="20"/>
  <c r="D164" i="20"/>
  <c r="G163" i="20"/>
  <c r="D163" i="20"/>
  <c r="G162" i="20"/>
  <c r="D162" i="20"/>
  <c r="G161" i="20"/>
  <c r="D161" i="20"/>
  <c r="G160" i="20"/>
  <c r="D160" i="20"/>
  <c r="G159" i="20"/>
  <c r="D159" i="20"/>
  <c r="I157" i="20"/>
  <c r="H157" i="20"/>
  <c r="H153" i="20" s="1"/>
  <c r="F157" i="20"/>
  <c r="F153" i="20" s="1"/>
  <c r="E157" i="20"/>
  <c r="E153" i="20" s="1"/>
  <c r="G156" i="20"/>
  <c r="D156" i="20"/>
  <c r="G155" i="20"/>
  <c r="D155" i="20"/>
  <c r="I153" i="20"/>
  <c r="G152" i="20"/>
  <c r="D152" i="20"/>
  <c r="G151" i="20"/>
  <c r="D151" i="20"/>
  <c r="G150" i="20"/>
  <c r="D150" i="20"/>
  <c r="I149" i="20"/>
  <c r="G149" i="20" s="1"/>
  <c r="H149" i="20"/>
  <c r="F149" i="20"/>
  <c r="E149" i="20"/>
  <c r="G148" i="20"/>
  <c r="D148" i="20"/>
  <c r="G147" i="20"/>
  <c r="D147" i="20"/>
  <c r="G146" i="20"/>
  <c r="D146" i="20"/>
  <c r="I145" i="20"/>
  <c r="H145" i="20"/>
  <c r="F145" i="20"/>
  <c r="E145" i="20"/>
  <c r="G144" i="20"/>
  <c r="G142" i="20" s="1"/>
  <c r="D144" i="20"/>
  <c r="G143" i="20"/>
  <c r="D143" i="20"/>
  <c r="I142" i="20"/>
  <c r="H142" i="20"/>
  <c r="F142" i="20"/>
  <c r="E142" i="20"/>
  <c r="D142" i="20"/>
  <c r="G141" i="20"/>
  <c r="D141" i="20"/>
  <c r="G140" i="20"/>
  <c r="D140" i="20"/>
  <c r="G139" i="20"/>
  <c r="D139" i="20"/>
  <c r="G138" i="20"/>
  <c r="D138" i="20"/>
  <c r="G137" i="20"/>
  <c r="D137" i="20"/>
  <c r="G136" i="20"/>
  <c r="D136" i="20"/>
  <c r="I134" i="20"/>
  <c r="G134" i="20" s="1"/>
  <c r="H134" i="20"/>
  <c r="F134" i="20"/>
  <c r="E134" i="20"/>
  <c r="G133" i="20"/>
  <c r="D133" i="20"/>
  <c r="G132" i="20"/>
  <c r="D132" i="20"/>
  <c r="H130" i="20"/>
  <c r="G129" i="20"/>
  <c r="D129" i="20"/>
  <c r="I127" i="20"/>
  <c r="H127" i="20"/>
  <c r="F127" i="20"/>
  <c r="E127" i="20"/>
  <c r="D127" i="20" s="1"/>
  <c r="N122" i="20"/>
  <c r="G121" i="20"/>
  <c r="D121" i="20"/>
  <c r="G107" i="20"/>
  <c r="G106" i="20"/>
  <c r="G105" i="20"/>
  <c r="I103" i="20"/>
  <c r="H103" i="20"/>
  <c r="G102" i="20"/>
  <c r="G101" i="20"/>
  <c r="G100" i="20"/>
  <c r="G99" i="20"/>
  <c r="G98" i="20"/>
  <c r="G97" i="20"/>
  <c r="G96" i="20"/>
  <c r="I94" i="20"/>
  <c r="I90" i="20" s="1"/>
  <c r="H94" i="20"/>
  <c r="H90" i="20" s="1"/>
  <c r="G90" i="20" s="1"/>
  <c r="G93" i="20"/>
  <c r="G92" i="20"/>
  <c r="G89" i="20"/>
  <c r="G86" i="20"/>
  <c r="I85" i="20"/>
  <c r="H85" i="20"/>
  <c r="G84" i="20"/>
  <c r="G82" i="20"/>
  <c r="G81" i="20"/>
  <c r="G80" i="20"/>
  <c r="G79" i="20"/>
  <c r="I78" i="20"/>
  <c r="H78" i="20"/>
  <c r="G78" i="20" s="1"/>
  <c r="G77" i="20"/>
  <c r="G76" i="20"/>
  <c r="G75" i="20"/>
  <c r="G74" i="20"/>
  <c r="G73" i="20"/>
  <c r="G72" i="20"/>
  <c r="I71" i="20"/>
  <c r="H71" i="20"/>
  <c r="H69" i="20" s="1"/>
  <c r="G70" i="20"/>
  <c r="G68" i="20"/>
  <c r="G66" i="20"/>
  <c r="G65" i="20"/>
  <c r="I64" i="20"/>
  <c r="I61" i="20" s="1"/>
  <c r="H64" i="20"/>
  <c r="G63" i="20"/>
  <c r="H61" i="20"/>
  <c r="G60" i="20"/>
  <c r="G59" i="20"/>
  <c r="G58" i="20"/>
  <c r="G57" i="20"/>
  <c r="G56" i="20"/>
  <c r="G55" i="20"/>
  <c r="I54" i="20"/>
  <c r="H54" i="20"/>
  <c r="G53" i="20"/>
  <c r="G52" i="20"/>
  <c r="I51" i="20"/>
  <c r="H51" i="20"/>
  <c r="G50" i="20"/>
  <c r="G49" i="20"/>
  <c r="G48" i="20"/>
  <c r="G47" i="20"/>
  <c r="G46" i="20"/>
  <c r="G45" i="20"/>
  <c r="I43" i="20"/>
  <c r="H43" i="20"/>
  <c r="G42" i="20"/>
  <c r="G41" i="20"/>
  <c r="I40" i="20"/>
  <c r="H40" i="20"/>
  <c r="G39" i="20"/>
  <c r="G35" i="20"/>
  <c r="I34" i="20"/>
  <c r="I29" i="20" s="1"/>
  <c r="H34" i="20"/>
  <c r="G33" i="20"/>
  <c r="G32" i="20"/>
  <c r="G31" i="20"/>
  <c r="H29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I12" i="20"/>
  <c r="I10" i="20" s="1"/>
  <c r="H12" i="20"/>
  <c r="H10" i="20" s="1"/>
  <c r="G8" i="20"/>
  <c r="D107" i="20"/>
  <c r="D106" i="20"/>
  <c r="D105" i="20"/>
  <c r="F103" i="20"/>
  <c r="E103" i="20"/>
  <c r="D102" i="20"/>
  <c r="D101" i="20"/>
  <c r="D100" i="20"/>
  <c r="D99" i="20"/>
  <c r="D98" i="20"/>
  <c r="D97" i="20"/>
  <c r="D96" i="20"/>
  <c r="F94" i="20"/>
  <c r="F90" i="20" s="1"/>
  <c r="E94" i="20"/>
  <c r="D93" i="20"/>
  <c r="D92" i="20"/>
  <c r="D89" i="20"/>
  <c r="D86" i="20"/>
  <c r="F85" i="20"/>
  <c r="E85" i="20"/>
  <c r="D84" i="20"/>
  <c r="D82" i="20"/>
  <c r="D81" i="20"/>
  <c r="D80" i="20"/>
  <c r="D79" i="20"/>
  <c r="F78" i="20"/>
  <c r="E78" i="20"/>
  <c r="D77" i="20"/>
  <c r="D76" i="20"/>
  <c r="D75" i="20"/>
  <c r="D74" i="20"/>
  <c r="D73" i="20"/>
  <c r="D72" i="20"/>
  <c r="F71" i="20"/>
  <c r="E71" i="20"/>
  <c r="D71" i="20"/>
  <c r="D70" i="20"/>
  <c r="D68" i="20"/>
  <c r="D66" i="20"/>
  <c r="D65" i="20"/>
  <c r="F64" i="20"/>
  <c r="E64" i="20"/>
  <c r="D64" i="20" s="1"/>
  <c r="D63" i="20"/>
  <c r="F61" i="20"/>
  <c r="D60" i="20"/>
  <c r="D59" i="20"/>
  <c r="D58" i="20"/>
  <c r="D57" i="20"/>
  <c r="D56" i="20"/>
  <c r="D55" i="20"/>
  <c r="F54" i="20"/>
  <c r="E54" i="20"/>
  <c r="D53" i="20"/>
  <c r="D52" i="20"/>
  <c r="D51" i="20" s="1"/>
  <c r="F51" i="20"/>
  <c r="E51" i="20"/>
  <c r="D50" i="20"/>
  <c r="D49" i="20"/>
  <c r="D48" i="20"/>
  <c r="D47" i="20"/>
  <c r="D46" i="20"/>
  <c r="D45" i="20"/>
  <c r="F43" i="20"/>
  <c r="E43" i="20"/>
  <c r="D43" i="20" s="1"/>
  <c r="D42" i="20"/>
  <c r="D41" i="20"/>
  <c r="F40" i="20"/>
  <c r="E40" i="20"/>
  <c r="D39" i="20"/>
  <c r="D35" i="20"/>
  <c r="F34" i="20"/>
  <c r="F29" i="20" s="1"/>
  <c r="E34" i="20"/>
  <c r="D33" i="20"/>
  <c r="D32" i="20"/>
  <c r="D31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F12" i="20"/>
  <c r="F10" i="20" s="1"/>
  <c r="E12" i="20"/>
  <c r="E10" i="20" s="1"/>
  <c r="D8" i="20"/>
  <c r="G95" i="19"/>
  <c r="D95" i="19"/>
  <c r="G94" i="19"/>
  <c r="D94" i="19"/>
  <c r="G93" i="19"/>
  <c r="D93" i="19"/>
  <c r="G92" i="19"/>
  <c r="D92" i="19"/>
  <c r="G91" i="19"/>
  <c r="D91" i="19"/>
  <c r="G90" i="19"/>
  <c r="D90" i="19"/>
  <c r="G89" i="19"/>
  <c r="D89" i="19"/>
  <c r="I87" i="19"/>
  <c r="I83" i="19" s="1"/>
  <c r="H87" i="19"/>
  <c r="F87" i="19"/>
  <c r="F83" i="19" s="1"/>
  <c r="E87" i="19"/>
  <c r="G86" i="19"/>
  <c r="D86" i="19"/>
  <c r="G85" i="19"/>
  <c r="D85" i="19"/>
  <c r="E83" i="19"/>
  <c r="G82" i="19"/>
  <c r="D82" i="19"/>
  <c r="G81" i="19"/>
  <c r="D81" i="19"/>
  <c r="G80" i="19"/>
  <c r="D80" i="19"/>
  <c r="I79" i="19"/>
  <c r="H79" i="19"/>
  <c r="F79" i="19"/>
  <c r="E79" i="19"/>
  <c r="G78" i="19"/>
  <c r="D78" i="19"/>
  <c r="G77" i="19"/>
  <c r="D77" i="19"/>
  <c r="G76" i="19"/>
  <c r="D76" i="19"/>
  <c r="I75" i="19"/>
  <c r="H75" i="19"/>
  <c r="F75" i="19"/>
  <c r="E75" i="19"/>
  <c r="G74" i="19"/>
  <c r="D74" i="19"/>
  <c r="G73" i="19"/>
  <c r="D73" i="19"/>
  <c r="I72" i="19"/>
  <c r="H72" i="19"/>
  <c r="F72" i="19"/>
  <c r="E72" i="19"/>
  <c r="G71" i="19"/>
  <c r="D71" i="19"/>
  <c r="G70" i="19"/>
  <c r="D70" i="19"/>
  <c r="G69" i="19"/>
  <c r="D69" i="19"/>
  <c r="G68" i="19"/>
  <c r="D68" i="19"/>
  <c r="G67" i="19"/>
  <c r="D67" i="19"/>
  <c r="G66" i="19"/>
  <c r="D66" i="19"/>
  <c r="I64" i="19"/>
  <c r="H64" i="19"/>
  <c r="H60" i="19" s="1"/>
  <c r="F64" i="19"/>
  <c r="F60" i="19" s="1"/>
  <c r="E64" i="19"/>
  <c r="G63" i="19"/>
  <c r="D63" i="19"/>
  <c r="G62" i="19"/>
  <c r="D62" i="19"/>
  <c r="G59" i="19"/>
  <c r="D59" i="19"/>
  <c r="I57" i="19"/>
  <c r="H57" i="19"/>
  <c r="F57" i="19"/>
  <c r="E57" i="19"/>
  <c r="G53" i="19"/>
  <c r="D53" i="19"/>
  <c r="G52" i="19"/>
  <c r="D52" i="19"/>
  <c r="G51" i="19"/>
  <c r="D51" i="19"/>
  <c r="G50" i="19"/>
  <c r="D50" i="19"/>
  <c r="G49" i="19"/>
  <c r="D49" i="19"/>
  <c r="G48" i="19"/>
  <c r="D48" i="19"/>
  <c r="G47" i="19"/>
  <c r="D47" i="19"/>
  <c r="I45" i="19"/>
  <c r="I41" i="19" s="1"/>
  <c r="H45" i="19"/>
  <c r="H41" i="19" s="1"/>
  <c r="G41" i="19" s="1"/>
  <c r="F45" i="19"/>
  <c r="F41" i="19" s="1"/>
  <c r="E45" i="19"/>
  <c r="G44" i="19"/>
  <c r="D44" i="19"/>
  <c r="G43" i="19"/>
  <c r="D43" i="19"/>
  <c r="G40" i="19"/>
  <c r="D40" i="19"/>
  <c r="G39" i="19"/>
  <c r="D39" i="19"/>
  <c r="G38" i="19"/>
  <c r="D38" i="19"/>
  <c r="I37" i="19"/>
  <c r="H37" i="19"/>
  <c r="F37" i="19"/>
  <c r="E37" i="19"/>
  <c r="G36" i="19"/>
  <c r="D36" i="19"/>
  <c r="G35" i="19"/>
  <c r="D35" i="19"/>
  <c r="G34" i="19"/>
  <c r="D34" i="19"/>
  <c r="I33" i="19"/>
  <c r="H33" i="19"/>
  <c r="F33" i="19"/>
  <c r="E33" i="19"/>
  <c r="G32" i="19"/>
  <c r="D32" i="19"/>
  <c r="G31" i="19"/>
  <c r="D31" i="19"/>
  <c r="I30" i="19"/>
  <c r="H30" i="19"/>
  <c r="F30" i="19"/>
  <c r="E30" i="19"/>
  <c r="G29" i="19"/>
  <c r="D29" i="19"/>
  <c r="G28" i="19"/>
  <c r="D28" i="19"/>
  <c r="G27" i="19"/>
  <c r="D27" i="19"/>
  <c r="G26" i="19"/>
  <c r="D26" i="19"/>
  <c r="G25" i="19"/>
  <c r="D25" i="19"/>
  <c r="G24" i="19"/>
  <c r="D24" i="19"/>
  <c r="I22" i="19"/>
  <c r="H22" i="19"/>
  <c r="F22" i="19"/>
  <c r="E22" i="19"/>
  <c r="G21" i="19"/>
  <c r="D21" i="19"/>
  <c r="G20" i="19"/>
  <c r="D20" i="19"/>
  <c r="I18" i="19"/>
  <c r="G17" i="19"/>
  <c r="D17" i="19"/>
  <c r="I15" i="19"/>
  <c r="H15" i="19"/>
  <c r="F15" i="19"/>
  <c r="E15" i="19"/>
  <c r="D15" i="19" s="1"/>
  <c r="G9" i="19"/>
  <c r="D9" i="19"/>
  <c r="I87" i="18"/>
  <c r="I83" i="18" s="1"/>
  <c r="F87" i="18"/>
  <c r="F83" i="18" s="1"/>
  <c r="G80" i="18"/>
  <c r="D80" i="18"/>
  <c r="I79" i="18"/>
  <c r="F79" i="18"/>
  <c r="I75" i="18"/>
  <c r="F75" i="18"/>
  <c r="I72" i="18"/>
  <c r="F72" i="18"/>
  <c r="I64" i="18"/>
  <c r="F64" i="18"/>
  <c r="I57" i="18"/>
  <c r="F57" i="18"/>
  <c r="G53" i="18"/>
  <c r="D53" i="18"/>
  <c r="G52" i="18"/>
  <c r="D52" i="18"/>
  <c r="G51" i="18"/>
  <c r="D51" i="18"/>
  <c r="G50" i="18"/>
  <c r="D50" i="18"/>
  <c r="G49" i="18"/>
  <c r="D49" i="18"/>
  <c r="G48" i="18"/>
  <c r="D48" i="18"/>
  <c r="G47" i="18"/>
  <c r="D47" i="18"/>
  <c r="I45" i="18"/>
  <c r="I41" i="18" s="1"/>
  <c r="H45" i="18"/>
  <c r="F45" i="18"/>
  <c r="F41" i="18" s="1"/>
  <c r="E45" i="18"/>
  <c r="G44" i="18"/>
  <c r="D44" i="18"/>
  <c r="G43" i="18"/>
  <c r="D43" i="18"/>
  <c r="G40" i="18"/>
  <c r="D40" i="18"/>
  <c r="G39" i="18"/>
  <c r="D39" i="18"/>
  <c r="G38" i="18"/>
  <c r="D38" i="18"/>
  <c r="I37" i="18"/>
  <c r="H37" i="18"/>
  <c r="F37" i="18"/>
  <c r="E37" i="18"/>
  <c r="G36" i="18"/>
  <c r="D36" i="18"/>
  <c r="G35" i="18"/>
  <c r="D35" i="18"/>
  <c r="G34" i="18"/>
  <c r="D34" i="18"/>
  <c r="I33" i="18"/>
  <c r="H33" i="18"/>
  <c r="F33" i="18"/>
  <c r="E33" i="18"/>
  <c r="G32" i="18"/>
  <c r="D32" i="18"/>
  <c r="G31" i="18"/>
  <c r="D31" i="18"/>
  <c r="I30" i="18"/>
  <c r="H30" i="18"/>
  <c r="F30" i="18"/>
  <c r="E30" i="18"/>
  <c r="G29" i="18"/>
  <c r="D29" i="18"/>
  <c r="G28" i="18"/>
  <c r="D28" i="18"/>
  <c r="G27" i="18"/>
  <c r="D27" i="18"/>
  <c r="G26" i="18"/>
  <c r="D26" i="18"/>
  <c r="G25" i="18"/>
  <c r="D25" i="18"/>
  <c r="G24" i="18"/>
  <c r="D24" i="18"/>
  <c r="I22" i="18"/>
  <c r="H22" i="18"/>
  <c r="F22" i="18"/>
  <c r="E22" i="18"/>
  <c r="G21" i="18"/>
  <c r="D21" i="18"/>
  <c r="G20" i="18"/>
  <c r="D20" i="18"/>
  <c r="G17" i="18"/>
  <c r="D17" i="18"/>
  <c r="I15" i="18"/>
  <c r="H15" i="18"/>
  <c r="F15" i="18"/>
  <c r="E15" i="18"/>
  <c r="G9" i="18"/>
  <c r="D9" i="18"/>
  <c r="I98" i="17"/>
  <c r="I94" i="17" s="1"/>
  <c r="G91" i="17"/>
  <c r="I90" i="17"/>
  <c r="I85" i="17"/>
  <c r="I82" i="17"/>
  <c r="I70" i="17"/>
  <c r="I63" i="17"/>
  <c r="G59" i="17"/>
  <c r="G57" i="17"/>
  <c r="G56" i="17"/>
  <c r="G55" i="17"/>
  <c r="G54" i="17"/>
  <c r="G53" i="17"/>
  <c r="G52" i="17"/>
  <c r="I50" i="17"/>
  <c r="I46" i="17" s="1"/>
  <c r="H50" i="17"/>
  <c r="G49" i="17"/>
  <c r="G48" i="17"/>
  <c r="G45" i="17"/>
  <c r="G44" i="17"/>
  <c r="I42" i="17"/>
  <c r="H42" i="17"/>
  <c r="G40" i="17"/>
  <c r="G39" i="17"/>
  <c r="G38" i="17"/>
  <c r="I37" i="17"/>
  <c r="H37" i="17"/>
  <c r="G36" i="17"/>
  <c r="G35" i="17"/>
  <c r="I34" i="17"/>
  <c r="H34" i="17"/>
  <c r="G33" i="17"/>
  <c r="G31" i="17"/>
  <c r="G30" i="17"/>
  <c r="G29" i="17"/>
  <c r="G27" i="17"/>
  <c r="G25" i="17"/>
  <c r="I22" i="17"/>
  <c r="H22" i="17"/>
  <c r="G21" i="17"/>
  <c r="G20" i="17"/>
  <c r="G17" i="17"/>
  <c r="I15" i="17"/>
  <c r="H15" i="17"/>
  <c r="F98" i="17"/>
  <c r="F94" i="17" s="1"/>
  <c r="D91" i="17"/>
  <c r="F90" i="17"/>
  <c r="F85" i="17"/>
  <c r="F82" i="17"/>
  <c r="F70" i="17"/>
  <c r="F63" i="17"/>
  <c r="D59" i="17"/>
  <c r="D57" i="17"/>
  <c r="D56" i="17"/>
  <c r="D55" i="17"/>
  <c r="D54" i="17"/>
  <c r="D53" i="17"/>
  <c r="D52" i="17"/>
  <c r="F50" i="17"/>
  <c r="F46" i="17" s="1"/>
  <c r="E50" i="17"/>
  <c r="D49" i="17"/>
  <c r="D48" i="17"/>
  <c r="D45" i="17"/>
  <c r="D44" i="17"/>
  <c r="F42" i="17"/>
  <c r="E42" i="17"/>
  <c r="D40" i="17"/>
  <c r="D39" i="17"/>
  <c r="D38" i="17"/>
  <c r="F37" i="17"/>
  <c r="E37" i="17"/>
  <c r="D36" i="17"/>
  <c r="D35" i="17"/>
  <c r="F34" i="17"/>
  <c r="E34" i="17"/>
  <c r="D33" i="17"/>
  <c r="D31" i="17"/>
  <c r="D30" i="17"/>
  <c r="D29" i="17"/>
  <c r="D27" i="17"/>
  <c r="D25" i="17"/>
  <c r="F22" i="17"/>
  <c r="E22" i="17"/>
  <c r="D21" i="17"/>
  <c r="D20" i="17"/>
  <c r="D17" i="17"/>
  <c r="F15" i="17"/>
  <c r="E15" i="17"/>
  <c r="E69" i="20" l="1"/>
  <c r="I69" i="20"/>
  <c r="G69" i="20" s="1"/>
  <c r="G157" i="20"/>
  <c r="I172" i="20"/>
  <c r="I167" i="20" s="1"/>
  <c r="D34" i="20"/>
  <c r="D40" i="20"/>
  <c r="G34" i="20"/>
  <c r="G40" i="20"/>
  <c r="G85" i="20"/>
  <c r="G103" i="20"/>
  <c r="D134" i="20"/>
  <c r="D149" i="20"/>
  <c r="G45" i="18"/>
  <c r="F66" i="17"/>
  <c r="F61" i="17" s="1"/>
  <c r="I66" i="17"/>
  <c r="I61" i="17" s="1"/>
  <c r="H125" i="20"/>
  <c r="D85" i="20"/>
  <c r="D103" i="20"/>
  <c r="I37" i="20"/>
  <c r="I27" i="20" s="1"/>
  <c r="I25" i="20" s="1"/>
  <c r="I9" i="20" s="1"/>
  <c r="E176" i="20"/>
  <c r="D176" i="20" s="1"/>
  <c r="H184" i="20"/>
  <c r="E61" i="20"/>
  <c r="D61" i="20" s="1"/>
  <c r="F69" i="20"/>
  <c r="D69" i="20" s="1"/>
  <c r="G51" i="20"/>
  <c r="G71" i="20"/>
  <c r="F130" i="20"/>
  <c r="F125" i="20" s="1"/>
  <c r="F122" i="20" s="1"/>
  <c r="G145" i="20"/>
  <c r="D157" i="20"/>
  <c r="G153" i="20"/>
  <c r="D169" i="20"/>
  <c r="F172" i="20"/>
  <c r="G61" i="20"/>
  <c r="G184" i="20"/>
  <c r="G72" i="19"/>
  <c r="D94" i="20"/>
  <c r="G64" i="20"/>
  <c r="G127" i="20"/>
  <c r="D145" i="20"/>
  <c r="D153" i="20"/>
  <c r="D72" i="19"/>
  <c r="G22" i="19"/>
  <c r="D37" i="19"/>
  <c r="D22" i="19"/>
  <c r="G37" i="19"/>
  <c r="D87" i="19"/>
  <c r="F18" i="19"/>
  <c r="F13" i="19" s="1"/>
  <c r="F10" i="19" s="1"/>
  <c r="G57" i="19"/>
  <c r="G75" i="19"/>
  <c r="E18" i="19"/>
  <c r="E13" i="19" s="1"/>
  <c r="G30" i="19"/>
  <c r="D57" i="19"/>
  <c r="F55" i="19"/>
  <c r="G79" i="19"/>
  <c r="H37" i="20"/>
  <c r="G37" i="20" s="1"/>
  <c r="G54" i="20"/>
  <c r="E199" i="20"/>
  <c r="D199" i="20" s="1"/>
  <c r="E90" i="20"/>
  <c r="D90" i="20" s="1"/>
  <c r="E187" i="20"/>
  <c r="D187" i="20" s="1"/>
  <c r="D54" i="20"/>
  <c r="D12" i="20"/>
  <c r="D15" i="18"/>
  <c r="D33" i="18"/>
  <c r="F60" i="18"/>
  <c r="F55" i="18" s="1"/>
  <c r="G30" i="18"/>
  <c r="D22" i="18"/>
  <c r="G15" i="18"/>
  <c r="H18" i="17"/>
  <c r="H13" i="17" s="1"/>
  <c r="D30" i="19"/>
  <c r="D33" i="19"/>
  <c r="I60" i="19"/>
  <c r="I55" i="19" s="1"/>
  <c r="G15" i="19"/>
  <c r="G45" i="19"/>
  <c r="D64" i="19"/>
  <c r="D79" i="19"/>
  <c r="G87" i="19"/>
  <c r="G33" i="19"/>
  <c r="D45" i="19"/>
  <c r="G64" i="19"/>
  <c r="D75" i="19"/>
  <c r="D83" i="19"/>
  <c r="D30" i="18"/>
  <c r="I60" i="18"/>
  <c r="I55" i="18" s="1"/>
  <c r="G22" i="18"/>
  <c r="I18" i="18"/>
  <c r="I13" i="18" s="1"/>
  <c r="D37" i="18"/>
  <c r="D45" i="18"/>
  <c r="G42" i="17"/>
  <c r="F167" i="20"/>
  <c r="H191" i="20"/>
  <c r="G191" i="20" s="1"/>
  <c r="E130" i="20"/>
  <c r="I130" i="20"/>
  <c r="E184" i="20"/>
  <c r="H169" i="20"/>
  <c r="H176" i="20"/>
  <c r="H187" i="20"/>
  <c r="G187" i="20" s="1"/>
  <c r="H199" i="20"/>
  <c r="G12" i="20"/>
  <c r="G43" i="20"/>
  <c r="G94" i="20"/>
  <c r="G10" i="20"/>
  <c r="G29" i="20"/>
  <c r="D10" i="20"/>
  <c r="E37" i="20"/>
  <c r="F37" i="20"/>
  <c r="F27" i="20" s="1"/>
  <c r="F25" i="20" s="1"/>
  <c r="F9" i="20" s="1"/>
  <c r="E29" i="20"/>
  <c r="D78" i="20"/>
  <c r="I13" i="19"/>
  <c r="I10" i="19" s="1"/>
  <c r="E41" i="19"/>
  <c r="D41" i="19" s="1"/>
  <c r="E60" i="19"/>
  <c r="H18" i="19"/>
  <c r="H55" i="19"/>
  <c r="H83" i="19"/>
  <c r="G83" i="19" s="1"/>
  <c r="E41" i="18"/>
  <c r="D41" i="18" s="1"/>
  <c r="H18" i="18"/>
  <c r="H13" i="18" s="1"/>
  <c r="G37" i="18"/>
  <c r="F18" i="18"/>
  <c r="F13" i="18" s="1"/>
  <c r="G33" i="18"/>
  <c r="G37" i="17"/>
  <c r="D15" i="17"/>
  <c r="G15" i="17"/>
  <c r="G34" i="17"/>
  <c r="G50" i="17"/>
  <c r="E18" i="18"/>
  <c r="H41" i="18"/>
  <c r="G41" i="18" s="1"/>
  <c r="D34" i="17"/>
  <c r="G22" i="17"/>
  <c r="D37" i="17"/>
  <c r="D50" i="17"/>
  <c r="I18" i="17"/>
  <c r="I13" i="17" s="1"/>
  <c r="H46" i="17"/>
  <c r="G46" i="17" s="1"/>
  <c r="D42" i="17"/>
  <c r="E18" i="17"/>
  <c r="E13" i="17" s="1"/>
  <c r="E46" i="17"/>
  <c r="D46" i="17" s="1"/>
  <c r="F18" i="17"/>
  <c r="F13" i="17" s="1"/>
  <c r="D22" i="17"/>
  <c r="E172" i="20" l="1"/>
  <c r="D172" i="20" s="1"/>
  <c r="D37" i="20"/>
  <c r="F10" i="17"/>
  <c r="G55" i="19"/>
  <c r="D18" i="19"/>
  <c r="G60" i="19"/>
  <c r="H27" i="20"/>
  <c r="G27" i="20" s="1"/>
  <c r="H25" i="20"/>
  <c r="G25" i="20" s="1"/>
  <c r="E195" i="20"/>
  <c r="D195" i="20" s="1"/>
  <c r="F10" i="18"/>
  <c r="I10" i="18"/>
  <c r="I10" i="17"/>
  <c r="G18" i="18"/>
  <c r="H172" i="20"/>
  <c r="G172" i="20" s="1"/>
  <c r="G176" i="20"/>
  <c r="G169" i="20"/>
  <c r="E167" i="20"/>
  <c r="D167" i="20" s="1"/>
  <c r="G199" i="20"/>
  <c r="H195" i="20"/>
  <c r="G195" i="20" s="1"/>
  <c r="G130" i="20"/>
  <c r="I125" i="20"/>
  <c r="E125" i="20"/>
  <c r="D130" i="20"/>
  <c r="E27" i="20"/>
  <c r="D29" i="20"/>
  <c r="E55" i="19"/>
  <c r="D55" i="19" s="1"/>
  <c r="D60" i="19"/>
  <c r="H13" i="19"/>
  <c r="G18" i="19"/>
  <c r="E10" i="19"/>
  <c r="D10" i="19" s="1"/>
  <c r="D13" i="19"/>
  <c r="G13" i="18"/>
  <c r="E13" i="18"/>
  <c r="D18" i="18"/>
  <c r="G18" i="17"/>
  <c r="G13" i="17"/>
  <c r="D18" i="17"/>
  <c r="D13" i="17"/>
  <c r="H9" i="20" l="1"/>
  <c r="G9" i="20" s="1"/>
  <c r="H167" i="20"/>
  <c r="G167" i="20" s="1"/>
  <c r="D125" i="20"/>
  <c r="E122" i="20"/>
  <c r="D122" i="20" s="1"/>
  <c r="L122" i="20" s="1"/>
  <c r="I122" i="20"/>
  <c r="G125" i="20"/>
  <c r="D27" i="20"/>
  <c r="E25" i="20"/>
  <c r="G13" i="19"/>
  <c r="H10" i="19"/>
  <c r="G10" i="19" s="1"/>
  <c r="D13" i="18"/>
  <c r="H122" i="20" l="1"/>
  <c r="G122" i="20" s="1"/>
  <c r="O122" i="20" s="1"/>
  <c r="P122" i="20" s="1"/>
  <c r="M122" i="20"/>
  <c r="D25" i="20"/>
  <c r="E9" i="20"/>
  <c r="D9" i="20" s="1"/>
  <c r="F371" i="14" l="1"/>
  <c r="F381" i="14"/>
  <c r="F383" i="14"/>
  <c r="F385" i="14"/>
  <c r="F387" i="14"/>
  <c r="F389" i="14"/>
  <c r="F391" i="14"/>
  <c r="F393" i="14"/>
  <c r="F351" i="14"/>
  <c r="F352" i="14"/>
  <c r="F363" i="14"/>
  <c r="F362" i="14"/>
  <c r="F354" i="14"/>
  <c r="F353" i="14"/>
  <c r="F297" i="14"/>
  <c r="F296" i="14"/>
  <c r="F288" i="14"/>
  <c r="F287" i="14"/>
  <c r="F286" i="14"/>
  <c r="F285" i="14"/>
  <c r="F284" i="14"/>
  <c r="F276" i="14"/>
  <c r="F275" i="14"/>
  <c r="F266" i="14"/>
  <c r="F265" i="14"/>
  <c r="F256" i="14"/>
  <c r="F229" i="14"/>
  <c r="F222" i="14"/>
  <c r="F215" i="14"/>
  <c r="F193" i="14"/>
  <c r="F192" i="14"/>
  <c r="F184" i="14"/>
  <c r="F176" i="14"/>
  <c r="F170" i="14"/>
  <c r="F161" i="14"/>
  <c r="F155" i="14"/>
  <c r="F147" i="14"/>
  <c r="F139" i="14"/>
  <c r="F131" i="14"/>
  <c r="F123" i="14"/>
  <c r="D115" i="14"/>
  <c r="F115" i="14" s="1"/>
  <c r="F26" i="14"/>
  <c r="F11" i="14"/>
  <c r="H214" i="6"/>
  <c r="E214" i="6"/>
  <c r="E95" i="18" s="1"/>
  <c r="D95" i="18" s="1"/>
  <c r="D214" i="6"/>
  <c r="H212" i="6"/>
  <c r="E212" i="6"/>
  <c r="E94" i="18" s="1"/>
  <c r="D94" i="18" s="1"/>
  <c r="H211" i="6"/>
  <c r="E211" i="6"/>
  <c r="E93" i="18" s="1"/>
  <c r="D93" i="18" s="1"/>
  <c r="H210" i="6"/>
  <c r="E210" i="6"/>
  <c r="E92" i="18" s="1"/>
  <c r="D92" i="18" s="1"/>
  <c r="H209" i="6"/>
  <c r="E209" i="6"/>
  <c r="E91" i="18" s="1"/>
  <c r="H208" i="6"/>
  <c r="E208" i="6"/>
  <c r="E90" i="18" s="1"/>
  <c r="D90" i="18" s="1"/>
  <c r="H207" i="6"/>
  <c r="E207" i="6"/>
  <c r="E89" i="18" s="1"/>
  <c r="D89" i="18" s="1"/>
  <c r="D207" i="6"/>
  <c r="I205" i="6"/>
  <c r="F205" i="6"/>
  <c r="F201" i="6" s="1"/>
  <c r="H204" i="6"/>
  <c r="H86" i="18" s="1"/>
  <c r="G86" i="18" s="1"/>
  <c r="E204" i="6"/>
  <c r="H203" i="6"/>
  <c r="H85" i="18" s="1"/>
  <c r="G85" i="18" s="1"/>
  <c r="G203" i="6"/>
  <c r="E203" i="6"/>
  <c r="I201" i="6"/>
  <c r="H200" i="6"/>
  <c r="E200" i="6"/>
  <c r="E82" i="18" s="1"/>
  <c r="D82" i="18" s="1"/>
  <c r="H199" i="6"/>
  <c r="H197" i="6" s="1"/>
  <c r="G197" i="6" s="1"/>
  <c r="E199" i="6"/>
  <c r="E81" i="18" s="1"/>
  <c r="G198" i="6"/>
  <c r="D198" i="6"/>
  <c r="I197" i="6"/>
  <c r="F197" i="6"/>
  <c r="H195" i="6"/>
  <c r="E195" i="6"/>
  <c r="E78" i="18" s="1"/>
  <c r="D78" i="18" s="1"/>
  <c r="H194" i="6"/>
  <c r="E194" i="6"/>
  <c r="E77" i="18" s="1"/>
  <c r="H193" i="6"/>
  <c r="E193" i="6"/>
  <c r="E76" i="18" s="1"/>
  <c r="D76" i="18" s="1"/>
  <c r="I192" i="6"/>
  <c r="F192" i="6"/>
  <c r="H191" i="6"/>
  <c r="H74" i="18" s="1"/>
  <c r="E191" i="6"/>
  <c r="H190" i="6"/>
  <c r="H73" i="18" s="1"/>
  <c r="G73" i="18" s="1"/>
  <c r="E190" i="6"/>
  <c r="I189" i="6"/>
  <c r="F189" i="6"/>
  <c r="H188" i="6"/>
  <c r="E188" i="6"/>
  <c r="E71" i="18" s="1"/>
  <c r="D71" i="18" s="1"/>
  <c r="H187" i="6"/>
  <c r="E187" i="6"/>
  <c r="E70" i="18" s="1"/>
  <c r="D70" i="18" s="1"/>
  <c r="H186" i="6"/>
  <c r="E186" i="6"/>
  <c r="E69" i="18" s="1"/>
  <c r="D69" i="18" s="1"/>
  <c r="H185" i="6"/>
  <c r="E185" i="6"/>
  <c r="E68" i="18" s="1"/>
  <c r="D68" i="18" s="1"/>
  <c r="H184" i="6"/>
  <c r="E184" i="6"/>
  <c r="E67" i="18" s="1"/>
  <c r="D67" i="18" s="1"/>
  <c r="H183" i="6"/>
  <c r="E183" i="6"/>
  <c r="E66" i="18" s="1"/>
  <c r="I181" i="6"/>
  <c r="F181" i="6"/>
  <c r="F177" i="6" s="1"/>
  <c r="H180" i="6"/>
  <c r="H63" i="18" s="1"/>
  <c r="G63" i="18" s="1"/>
  <c r="G180" i="6"/>
  <c r="E180" i="6"/>
  <c r="H179" i="6"/>
  <c r="H62" i="18" s="1"/>
  <c r="G62" i="18" s="1"/>
  <c r="E179" i="6"/>
  <c r="H176" i="6"/>
  <c r="E176" i="6"/>
  <c r="E59" i="18" s="1"/>
  <c r="D176" i="6"/>
  <c r="I174" i="6"/>
  <c r="F174" i="6"/>
  <c r="E174" i="6"/>
  <c r="G170" i="6"/>
  <c r="D170" i="6"/>
  <c r="G168" i="6"/>
  <c r="D168" i="6"/>
  <c r="G167" i="6"/>
  <c r="D167" i="6"/>
  <c r="G166" i="6"/>
  <c r="D166" i="6"/>
  <c r="G165" i="6"/>
  <c r="D165" i="6"/>
  <c r="G164" i="6"/>
  <c r="D164" i="6"/>
  <c r="G163" i="6"/>
  <c r="D163" i="6"/>
  <c r="I157" i="6"/>
  <c r="D161" i="6"/>
  <c r="G160" i="6"/>
  <c r="D160" i="6"/>
  <c r="G159" i="6"/>
  <c r="D159" i="6"/>
  <c r="E157" i="6"/>
  <c r="G156" i="6"/>
  <c r="D156" i="6"/>
  <c r="G155" i="6"/>
  <c r="D155" i="6"/>
  <c r="G154" i="6"/>
  <c r="D154" i="6"/>
  <c r="I153" i="6"/>
  <c r="H153" i="6"/>
  <c r="F153" i="6"/>
  <c r="E153" i="6"/>
  <c r="G151" i="6"/>
  <c r="G150" i="6"/>
  <c r="D150" i="6"/>
  <c r="G149" i="6"/>
  <c r="D149" i="6"/>
  <c r="I148" i="6"/>
  <c r="G148" i="6" s="1"/>
  <c r="H148" i="6"/>
  <c r="F148" i="6"/>
  <c r="E148" i="6"/>
  <c r="G147" i="6"/>
  <c r="D147" i="6"/>
  <c r="G146" i="6"/>
  <c r="D146" i="6"/>
  <c r="D145" i="6" s="1"/>
  <c r="I145" i="6"/>
  <c r="H145" i="6"/>
  <c r="F145" i="6"/>
  <c r="E145" i="6"/>
  <c r="G144" i="6"/>
  <c r="D144" i="6"/>
  <c r="G143" i="6"/>
  <c r="D143" i="6"/>
  <c r="G142" i="6"/>
  <c r="D142" i="6"/>
  <c r="G141" i="6"/>
  <c r="D141" i="6"/>
  <c r="G140" i="6"/>
  <c r="D140" i="6"/>
  <c r="G139" i="6"/>
  <c r="D139" i="6"/>
  <c r="I137" i="6"/>
  <c r="H137" i="6"/>
  <c r="H133" i="6" s="1"/>
  <c r="F137" i="6"/>
  <c r="F133" i="6" s="1"/>
  <c r="E137" i="6"/>
  <c r="E133" i="6" s="1"/>
  <c r="G136" i="6"/>
  <c r="D136" i="6"/>
  <c r="G135" i="6"/>
  <c r="D135" i="6"/>
  <c r="G132" i="6"/>
  <c r="D132" i="6"/>
  <c r="I130" i="6"/>
  <c r="H130" i="6"/>
  <c r="G130" i="6" s="1"/>
  <c r="F130" i="6"/>
  <c r="E130" i="6"/>
  <c r="N125" i="6"/>
  <c r="K125" i="6"/>
  <c r="G124" i="6"/>
  <c r="D124" i="6"/>
  <c r="H106" i="6"/>
  <c r="H92" i="6"/>
  <c r="H80" i="6"/>
  <c r="H73" i="6"/>
  <c r="H66" i="6"/>
  <c r="H54" i="6"/>
  <c r="H51" i="6"/>
  <c r="H43" i="6"/>
  <c r="H40" i="6"/>
  <c r="H34" i="6"/>
  <c r="H29" i="6" s="1"/>
  <c r="H21" i="6"/>
  <c r="H10" i="6" s="1"/>
  <c r="H17" i="6"/>
  <c r="E106" i="6"/>
  <c r="E92" i="6"/>
  <c r="E80" i="6"/>
  <c r="E73" i="6"/>
  <c r="E66" i="6"/>
  <c r="E54" i="6"/>
  <c r="E51" i="6"/>
  <c r="E43" i="6"/>
  <c r="E40" i="6"/>
  <c r="E34" i="6"/>
  <c r="E29" i="6" s="1"/>
  <c r="E21" i="6"/>
  <c r="E17" i="6"/>
  <c r="N124" i="5"/>
  <c r="K124" i="5"/>
  <c r="H105" i="5"/>
  <c r="H91" i="5"/>
  <c r="H79" i="5"/>
  <c r="H72" i="5"/>
  <c r="H65" i="5"/>
  <c r="H53" i="5"/>
  <c r="H50" i="5"/>
  <c r="H38" i="5"/>
  <c r="H35" i="5"/>
  <c r="H29" i="5"/>
  <c r="H24" i="5" s="1"/>
  <c r="H16" i="5"/>
  <c r="H10" i="5" s="1"/>
  <c r="H215" i="5"/>
  <c r="H213" i="5"/>
  <c r="H105" i="17" s="1"/>
  <c r="G105" i="17" s="1"/>
  <c r="H212" i="5"/>
  <c r="H211" i="5"/>
  <c r="H210" i="5"/>
  <c r="H209" i="5"/>
  <c r="H101" i="17" s="1"/>
  <c r="G101" i="17" s="1"/>
  <c r="H208" i="5"/>
  <c r="I206" i="5"/>
  <c r="I202" i="5" s="1"/>
  <c r="H205" i="5"/>
  <c r="H204" i="5"/>
  <c r="H201" i="5"/>
  <c r="H200" i="5"/>
  <c r="G199" i="5"/>
  <c r="I198" i="5"/>
  <c r="H196" i="5"/>
  <c r="H195" i="5"/>
  <c r="H194" i="5"/>
  <c r="I193" i="5"/>
  <c r="H192" i="5"/>
  <c r="H191" i="5"/>
  <c r="I190" i="5"/>
  <c r="H189" i="5"/>
  <c r="H187" i="5"/>
  <c r="H79" i="17" s="1"/>
  <c r="G79" i="17" s="1"/>
  <c r="H186" i="5"/>
  <c r="H185" i="5"/>
  <c r="H184" i="5"/>
  <c r="H183" i="5"/>
  <c r="I181" i="5"/>
  <c r="H180" i="5"/>
  <c r="H179" i="5"/>
  <c r="H176" i="5"/>
  <c r="I174" i="5"/>
  <c r="G170" i="5"/>
  <c r="G168" i="5"/>
  <c r="G167" i="5"/>
  <c r="G166" i="5"/>
  <c r="G165" i="5"/>
  <c r="G164" i="5"/>
  <c r="G163" i="5"/>
  <c r="I157" i="5"/>
  <c r="G160" i="5"/>
  <c r="G159" i="5"/>
  <c r="G156" i="5"/>
  <c r="G155" i="5"/>
  <c r="G154" i="5"/>
  <c r="I153" i="5"/>
  <c r="I41" i="17" s="1"/>
  <c r="H153" i="5"/>
  <c r="G151" i="5"/>
  <c r="G150" i="5"/>
  <c r="G149" i="5"/>
  <c r="I148" i="5"/>
  <c r="H148" i="5"/>
  <c r="G147" i="5"/>
  <c r="G146" i="5"/>
  <c r="I145" i="5"/>
  <c r="H145" i="5"/>
  <c r="G144" i="5"/>
  <c r="G142" i="5"/>
  <c r="G141" i="5"/>
  <c r="G140" i="5"/>
  <c r="G139" i="5"/>
  <c r="G138" i="5"/>
  <c r="I136" i="5"/>
  <c r="H136" i="5"/>
  <c r="G136" i="5" s="1"/>
  <c r="G135" i="5"/>
  <c r="G134" i="5"/>
  <c r="G131" i="5"/>
  <c r="I129" i="5"/>
  <c r="H129" i="5"/>
  <c r="G123" i="5"/>
  <c r="E105" i="5"/>
  <c r="E79" i="5"/>
  <c r="E72" i="5"/>
  <c r="E65" i="5"/>
  <c r="E50" i="5"/>
  <c r="E38" i="5"/>
  <c r="E35" i="5"/>
  <c r="E29" i="5"/>
  <c r="E24" i="5" s="1"/>
  <c r="E16" i="5"/>
  <c r="E10" i="5" s="1"/>
  <c r="F206" i="5"/>
  <c r="E205" i="5"/>
  <c r="E204" i="5"/>
  <c r="F202" i="5"/>
  <c r="E201" i="5"/>
  <c r="E93" i="17" s="1"/>
  <c r="D93" i="17" s="1"/>
  <c r="E200" i="5"/>
  <c r="E92" i="17" s="1"/>
  <c r="D199" i="5"/>
  <c r="F198" i="5"/>
  <c r="E195" i="5"/>
  <c r="E194" i="5"/>
  <c r="F193" i="5"/>
  <c r="E191" i="5"/>
  <c r="F190" i="5"/>
  <c r="E189" i="5"/>
  <c r="E81" i="17" s="1"/>
  <c r="D81" i="17" s="1"/>
  <c r="E187" i="5"/>
  <c r="E79" i="17" s="1"/>
  <c r="D79" i="17" s="1"/>
  <c r="E186" i="5"/>
  <c r="E78" i="17" s="1"/>
  <c r="D78" i="17" s="1"/>
  <c r="E185" i="5"/>
  <c r="E77" i="17" s="1"/>
  <c r="D77" i="17" s="1"/>
  <c r="E184" i="5"/>
  <c r="E75" i="17" s="1"/>
  <c r="D75" i="17" s="1"/>
  <c r="E183" i="5"/>
  <c r="F181" i="5"/>
  <c r="E180" i="5"/>
  <c r="E176" i="5"/>
  <c r="E65" i="17" s="1"/>
  <c r="F174" i="5"/>
  <c r="D170" i="5"/>
  <c r="D167" i="5"/>
  <c r="D166" i="5"/>
  <c r="D165" i="5"/>
  <c r="D164" i="5"/>
  <c r="D163" i="5"/>
  <c r="D160" i="5"/>
  <c r="D159" i="5"/>
  <c r="F157" i="5"/>
  <c r="D156" i="5"/>
  <c r="D155" i="5"/>
  <c r="D154" i="5"/>
  <c r="F153" i="5"/>
  <c r="F41" i="17" s="1"/>
  <c r="E153" i="5"/>
  <c r="E41" i="17" s="1"/>
  <c r="D150" i="5"/>
  <c r="D149" i="5"/>
  <c r="F148" i="5"/>
  <c r="E148" i="5"/>
  <c r="D147" i="5"/>
  <c r="D146" i="5"/>
  <c r="F145" i="5"/>
  <c r="E145" i="5"/>
  <c r="D144" i="5"/>
  <c r="D142" i="5"/>
  <c r="D141" i="5"/>
  <c r="D140" i="5"/>
  <c r="D139" i="5"/>
  <c r="D138" i="5"/>
  <c r="F136" i="5"/>
  <c r="E136" i="5"/>
  <c r="E132" i="5" s="1"/>
  <c r="D135" i="5"/>
  <c r="D134" i="5"/>
  <c r="D131" i="5"/>
  <c r="F129" i="5"/>
  <c r="E129" i="5"/>
  <c r="D123" i="5"/>
  <c r="F95" i="13"/>
  <c r="F91" i="13" s="1"/>
  <c r="D88" i="13"/>
  <c r="F87" i="13"/>
  <c r="F82" i="13"/>
  <c r="F79" i="13"/>
  <c r="F70" i="13"/>
  <c r="F63" i="13"/>
  <c r="D59" i="13"/>
  <c r="D57" i="13"/>
  <c r="D56" i="13"/>
  <c r="D55" i="13"/>
  <c r="D54" i="13"/>
  <c r="D53" i="13"/>
  <c r="D52" i="13"/>
  <c r="F50" i="13"/>
  <c r="F46" i="13" s="1"/>
  <c r="E50" i="13"/>
  <c r="D50" i="13" s="1"/>
  <c r="D49" i="13"/>
  <c r="D48" i="13"/>
  <c r="D45" i="13"/>
  <c r="D44" i="13"/>
  <c r="D43" i="13"/>
  <c r="F42" i="13"/>
  <c r="E42" i="13"/>
  <c r="D39" i="13"/>
  <c r="D38" i="13"/>
  <c r="F37" i="13"/>
  <c r="E37" i="13"/>
  <c r="D37" i="13" s="1"/>
  <c r="D36" i="13"/>
  <c r="D35" i="13"/>
  <c r="F34" i="13"/>
  <c r="E34" i="13"/>
  <c r="D33" i="13"/>
  <c r="D31" i="13"/>
  <c r="D30" i="13"/>
  <c r="D29" i="13"/>
  <c r="D27" i="13"/>
  <c r="D25" i="13"/>
  <c r="F22" i="13"/>
  <c r="E22" i="13"/>
  <c r="E18" i="13" s="1"/>
  <c r="D21" i="13"/>
  <c r="D20" i="13"/>
  <c r="D17" i="13"/>
  <c r="F15" i="13"/>
  <c r="E15" i="13"/>
  <c r="D9" i="13"/>
  <c r="E211" i="10"/>
  <c r="E209" i="10"/>
  <c r="E102" i="13" s="1"/>
  <c r="D102" i="13" s="1"/>
  <c r="E208" i="10"/>
  <c r="E207" i="10"/>
  <c r="E206" i="10"/>
  <c r="E205" i="10"/>
  <c r="E98" i="13" s="1"/>
  <c r="E204" i="10"/>
  <c r="F202" i="10"/>
  <c r="F198" i="10" s="1"/>
  <c r="E201" i="10"/>
  <c r="E200" i="10"/>
  <c r="E197" i="10"/>
  <c r="E196" i="10"/>
  <c r="D195" i="10"/>
  <c r="F194" i="10"/>
  <c r="E191" i="10"/>
  <c r="E84" i="13" s="1"/>
  <c r="D84" i="13" s="1"/>
  <c r="E190" i="10"/>
  <c r="F189" i="10"/>
  <c r="E188" i="10"/>
  <c r="E187" i="10"/>
  <c r="F186" i="10"/>
  <c r="E185" i="10"/>
  <c r="E183" i="10"/>
  <c r="E76" i="13" s="1"/>
  <c r="D76" i="13" s="1"/>
  <c r="E182" i="10"/>
  <c r="E181" i="10"/>
  <c r="E180" i="10"/>
  <c r="E179" i="10"/>
  <c r="E72" i="13" s="1"/>
  <c r="D72" i="13" s="1"/>
  <c r="F177" i="10"/>
  <c r="E176" i="10"/>
  <c r="E175" i="10"/>
  <c r="E172" i="10"/>
  <c r="F170" i="10"/>
  <c r="D166" i="10"/>
  <c r="D164" i="10"/>
  <c r="D163" i="10"/>
  <c r="D162" i="10"/>
  <c r="D161" i="10"/>
  <c r="D160" i="10"/>
  <c r="D159" i="10"/>
  <c r="F157" i="10"/>
  <c r="F153" i="10" s="1"/>
  <c r="E157" i="10"/>
  <c r="D156" i="10"/>
  <c r="D155" i="10"/>
  <c r="D152" i="10"/>
  <c r="D151" i="10"/>
  <c r="D150" i="10"/>
  <c r="F149" i="10"/>
  <c r="D149" i="10" s="1"/>
  <c r="E149" i="10"/>
  <c r="D146" i="10"/>
  <c r="D145" i="10"/>
  <c r="F144" i="10"/>
  <c r="E144" i="10"/>
  <c r="D143" i="10"/>
  <c r="D142" i="10"/>
  <c r="F141" i="10"/>
  <c r="E141" i="10"/>
  <c r="D140" i="10"/>
  <c r="D138" i="10"/>
  <c r="D137" i="10"/>
  <c r="D136" i="10"/>
  <c r="D135" i="10"/>
  <c r="D134" i="10"/>
  <c r="F132" i="10"/>
  <c r="D132" i="10" s="1"/>
  <c r="E132" i="10"/>
  <c r="D131" i="10"/>
  <c r="D130" i="10"/>
  <c r="E128" i="10"/>
  <c r="D127" i="10"/>
  <c r="F125" i="10"/>
  <c r="E125" i="10"/>
  <c r="H120" i="10"/>
  <c r="D119" i="10"/>
  <c r="E220" i="11"/>
  <c r="E218" i="11"/>
  <c r="E217" i="11"/>
  <c r="E216" i="11"/>
  <c r="E100" i="30" s="1"/>
  <c r="D100" i="30" s="1"/>
  <c r="E215" i="11"/>
  <c r="E214" i="11"/>
  <c r="E98" i="30" s="1"/>
  <c r="D98" i="30" s="1"/>
  <c r="E213" i="11"/>
  <c r="F211" i="11"/>
  <c r="E210" i="11"/>
  <c r="E209" i="11"/>
  <c r="F207" i="11"/>
  <c r="E206" i="11"/>
  <c r="E205" i="11"/>
  <c r="E89" i="30" s="1"/>
  <c r="D204" i="11"/>
  <c r="F203" i="11"/>
  <c r="E201" i="11"/>
  <c r="E200" i="11"/>
  <c r="E199" i="11"/>
  <c r="F198" i="11"/>
  <c r="E197" i="11"/>
  <c r="E196" i="11"/>
  <c r="F195" i="11"/>
  <c r="E194" i="11"/>
  <c r="E192" i="11"/>
  <c r="E76" i="30" s="1"/>
  <c r="D76" i="30" s="1"/>
  <c r="E191" i="11"/>
  <c r="E190" i="11"/>
  <c r="E189" i="11"/>
  <c r="E188" i="11"/>
  <c r="E72" i="30" s="1"/>
  <c r="F186" i="11"/>
  <c r="F182" i="11" s="1"/>
  <c r="E185" i="11"/>
  <c r="E184" i="11"/>
  <c r="E181" i="11"/>
  <c r="E65" i="30" s="1"/>
  <c r="F179" i="11"/>
  <c r="D175" i="11"/>
  <c r="D173" i="11"/>
  <c r="D172" i="11"/>
  <c r="D171" i="11"/>
  <c r="D170" i="11"/>
  <c r="D169" i="11"/>
  <c r="D168" i="11"/>
  <c r="F166" i="11"/>
  <c r="D165" i="11"/>
  <c r="D164" i="11"/>
  <c r="F162" i="11"/>
  <c r="D161" i="11"/>
  <c r="D160" i="11"/>
  <c r="D159" i="11"/>
  <c r="F158" i="11"/>
  <c r="E158" i="11"/>
  <c r="D158" i="11" s="1"/>
  <c r="D155" i="11"/>
  <c r="D154" i="11"/>
  <c r="F153" i="11"/>
  <c r="E153" i="11"/>
  <c r="D153" i="11" s="1"/>
  <c r="D152" i="11"/>
  <c r="D151" i="11"/>
  <c r="F150" i="11"/>
  <c r="E150" i="11"/>
  <c r="D149" i="11"/>
  <c r="D147" i="11"/>
  <c r="D146" i="11"/>
  <c r="D145" i="11"/>
  <c r="D144" i="11"/>
  <c r="D143" i="11"/>
  <c r="F141" i="11"/>
  <c r="F137" i="11" s="1"/>
  <c r="E141" i="11"/>
  <c r="D141" i="11" s="1"/>
  <c r="D140" i="11"/>
  <c r="D139" i="11"/>
  <c r="D136" i="11"/>
  <c r="F134" i="11"/>
  <c r="E134" i="11"/>
  <c r="H129" i="11"/>
  <c r="D128" i="11"/>
  <c r="D185" i="6" l="1"/>
  <c r="D201" i="5"/>
  <c r="D200" i="5"/>
  <c r="D216" i="11"/>
  <c r="G137" i="6"/>
  <c r="I133" i="6"/>
  <c r="D130" i="6"/>
  <c r="D195" i="6"/>
  <c r="D199" i="6"/>
  <c r="G153" i="6"/>
  <c r="E37" i="6"/>
  <c r="H37" i="6"/>
  <c r="D183" i="6"/>
  <c r="D187" i="6"/>
  <c r="D41" i="17"/>
  <c r="G129" i="5"/>
  <c r="I177" i="5"/>
  <c r="I172" i="5" s="1"/>
  <c r="E73" i="17"/>
  <c r="D73" i="17" s="1"/>
  <c r="E74" i="17"/>
  <c r="D74" i="17" s="1"/>
  <c r="F177" i="5"/>
  <c r="F172" i="5" s="1"/>
  <c r="I132" i="5"/>
  <c r="I127" i="5" s="1"/>
  <c r="I124" i="5" s="1"/>
  <c r="G153" i="5"/>
  <c r="H41" i="17"/>
  <c r="G41" i="17" s="1"/>
  <c r="G183" i="5"/>
  <c r="H74" i="17"/>
  <c r="G74" i="17" s="1"/>
  <c r="H32" i="5"/>
  <c r="E32" i="5"/>
  <c r="E68" i="17"/>
  <c r="D68" i="17" s="1"/>
  <c r="E194" i="10"/>
  <c r="D194" i="10" s="1"/>
  <c r="E68" i="13"/>
  <c r="D68" i="13" s="1"/>
  <c r="G145" i="6"/>
  <c r="D210" i="6"/>
  <c r="G145" i="5"/>
  <c r="D189" i="5"/>
  <c r="D175" i="10"/>
  <c r="D179" i="10"/>
  <c r="D180" i="10"/>
  <c r="E73" i="13"/>
  <c r="D73" i="13" s="1"/>
  <c r="D188" i="10"/>
  <c r="E81" i="13"/>
  <c r="D81" i="13" s="1"/>
  <c r="F132" i="5"/>
  <c r="F127" i="5" s="1"/>
  <c r="F124" i="5" s="1"/>
  <c r="D205" i="5"/>
  <c r="E97" i="17"/>
  <c r="D97" i="17" s="1"/>
  <c r="H174" i="5"/>
  <c r="G174" i="5" s="1"/>
  <c r="H65" i="17"/>
  <c r="G205" i="5"/>
  <c r="H97" i="17"/>
  <c r="G97" i="17" s="1"/>
  <c r="F157" i="6"/>
  <c r="G187" i="6"/>
  <c r="H70" i="18"/>
  <c r="G70" i="18" s="1"/>
  <c r="G195" i="6"/>
  <c r="H78" i="18"/>
  <c r="G78" i="18" s="1"/>
  <c r="G207" i="6"/>
  <c r="H89" i="18"/>
  <c r="G89" i="18" s="1"/>
  <c r="G210" i="6"/>
  <c r="H92" i="18"/>
  <c r="G92" i="18" s="1"/>
  <c r="D134" i="11"/>
  <c r="E179" i="11"/>
  <c r="D179" i="11" s="1"/>
  <c r="D192" i="11"/>
  <c r="D196" i="11"/>
  <c r="E80" i="30"/>
  <c r="D80" i="30" s="1"/>
  <c r="D205" i="11"/>
  <c r="D214" i="11"/>
  <c r="E170" i="10"/>
  <c r="D170" i="10" s="1"/>
  <c r="E65" i="13"/>
  <c r="D181" i="10"/>
  <c r="E74" i="13"/>
  <c r="D74" i="13" s="1"/>
  <c r="F173" i="10"/>
  <c r="F168" i="10" s="1"/>
  <c r="D192" i="10"/>
  <c r="E85" i="13"/>
  <c r="D85" i="13" s="1"/>
  <c r="D196" i="10"/>
  <c r="E89" i="13"/>
  <c r="D207" i="10"/>
  <c r="E100" i="13"/>
  <c r="D100" i="13" s="1"/>
  <c r="D211" i="10"/>
  <c r="E104" i="13"/>
  <c r="D104" i="13" s="1"/>
  <c r="D153" i="5"/>
  <c r="E174" i="5"/>
  <c r="D174" i="5" s="1"/>
  <c r="D184" i="5"/>
  <c r="D191" i="5"/>
  <c r="E83" i="17"/>
  <c r="D83" i="17" s="1"/>
  <c r="G148" i="5"/>
  <c r="G191" i="5"/>
  <c r="H83" i="17"/>
  <c r="G83" i="17" s="1"/>
  <c r="H193" i="5"/>
  <c r="G193" i="5" s="1"/>
  <c r="G200" i="5"/>
  <c r="H92" i="17"/>
  <c r="D137" i="6"/>
  <c r="D153" i="6"/>
  <c r="G161" i="6"/>
  <c r="D174" i="6"/>
  <c r="D59" i="18"/>
  <c r="E57" i="18"/>
  <c r="D57" i="18" s="1"/>
  <c r="I177" i="6"/>
  <c r="D184" i="6"/>
  <c r="D188" i="6"/>
  <c r="D193" i="6"/>
  <c r="E79" i="18"/>
  <c r="D79" i="18" s="1"/>
  <c r="D81" i="18"/>
  <c r="G200" i="6"/>
  <c r="H82" i="18"/>
  <c r="G82" i="18" s="1"/>
  <c r="D208" i="6"/>
  <c r="D211" i="6"/>
  <c r="D65" i="30"/>
  <c r="E63" i="30"/>
  <c r="D63" i="30" s="1"/>
  <c r="D199" i="11"/>
  <c r="E83" i="30"/>
  <c r="D83" i="30" s="1"/>
  <c r="D201" i="11"/>
  <c r="E85" i="30"/>
  <c r="D85" i="30" s="1"/>
  <c r="D217" i="11"/>
  <c r="E101" i="30"/>
  <c r="D101" i="30" s="1"/>
  <c r="D182" i="10"/>
  <c r="E75" i="13"/>
  <c r="D75" i="13" s="1"/>
  <c r="E189" i="10"/>
  <c r="D197" i="10"/>
  <c r="E90" i="13"/>
  <c r="D90" i="13" s="1"/>
  <c r="D204" i="10"/>
  <c r="E97" i="13"/>
  <c r="D97" i="13" s="1"/>
  <c r="F66" i="13"/>
  <c r="D180" i="5"/>
  <c r="E69" i="17"/>
  <c r="D69" i="17" s="1"/>
  <c r="G201" i="5"/>
  <c r="H93" i="17"/>
  <c r="G93" i="17" s="1"/>
  <c r="F128" i="6"/>
  <c r="F125" i="6" s="1"/>
  <c r="F172" i="6"/>
  <c r="G176" i="6"/>
  <c r="H59" i="18"/>
  <c r="D190" i="6"/>
  <c r="E73" i="18"/>
  <c r="D73" i="18" s="1"/>
  <c r="E197" i="6"/>
  <c r="D197" i="6" s="1"/>
  <c r="G199" i="6"/>
  <c r="H81" i="18"/>
  <c r="D213" i="11"/>
  <c r="E97" i="30"/>
  <c r="D201" i="10"/>
  <c r="E94" i="13"/>
  <c r="D94" i="13" s="1"/>
  <c r="D132" i="5"/>
  <c r="E63" i="17"/>
  <c r="D63" i="17" s="1"/>
  <c r="D65" i="17"/>
  <c r="D194" i="5"/>
  <c r="E86" i="17"/>
  <c r="D86" i="17" s="1"/>
  <c r="G194" i="5"/>
  <c r="H86" i="17"/>
  <c r="G86" i="17" s="1"/>
  <c r="F177" i="11"/>
  <c r="D189" i="11"/>
  <c r="E73" i="30"/>
  <c r="D73" i="30" s="1"/>
  <c r="D89" i="30"/>
  <c r="F132" i="11"/>
  <c r="F129" i="11" s="1"/>
  <c r="D181" i="11"/>
  <c r="D206" i="11"/>
  <c r="E90" i="30"/>
  <c r="D90" i="30" s="1"/>
  <c r="D125" i="10"/>
  <c r="D183" i="10"/>
  <c r="D191" i="10"/>
  <c r="D209" i="10"/>
  <c r="D15" i="13"/>
  <c r="D148" i="5"/>
  <c r="D176" i="5"/>
  <c r="E198" i="5"/>
  <c r="D198" i="5" s="1"/>
  <c r="D92" i="17"/>
  <c r="E90" i="17"/>
  <c r="D90" i="17" s="1"/>
  <c r="D204" i="5"/>
  <c r="E96" i="17"/>
  <c r="D96" i="17" s="1"/>
  <c r="G176" i="5"/>
  <c r="G180" i="5"/>
  <c r="H69" i="17"/>
  <c r="G69" i="17" s="1"/>
  <c r="G189" i="5"/>
  <c r="H81" i="17"/>
  <c r="G81" i="17" s="1"/>
  <c r="G204" i="5"/>
  <c r="H96" i="17"/>
  <c r="G96" i="17" s="1"/>
  <c r="G209" i="5"/>
  <c r="H70" i="5"/>
  <c r="D148" i="6"/>
  <c r="D157" i="6"/>
  <c r="I172" i="6"/>
  <c r="G184" i="6"/>
  <c r="H67" i="18"/>
  <c r="G67" i="18" s="1"/>
  <c r="D186" i="6"/>
  <c r="G190" i="6"/>
  <c r="G193" i="6"/>
  <c r="H76" i="18"/>
  <c r="G76" i="18" s="1"/>
  <c r="D200" i="6"/>
  <c r="G208" i="6"/>
  <c r="H90" i="18"/>
  <c r="G90" i="18" s="1"/>
  <c r="G211" i="6"/>
  <c r="H93" i="18"/>
  <c r="G93" i="18" s="1"/>
  <c r="G208" i="5"/>
  <c r="H100" i="17"/>
  <c r="G100" i="17" s="1"/>
  <c r="G211" i="5"/>
  <c r="H103" i="17"/>
  <c r="G103" i="17" s="1"/>
  <c r="G213" i="5"/>
  <c r="G184" i="5"/>
  <c r="H75" i="17"/>
  <c r="G75" i="17" s="1"/>
  <c r="G187" i="5"/>
  <c r="D185" i="5"/>
  <c r="G188" i="6"/>
  <c r="H71" i="18"/>
  <c r="G71" i="18" s="1"/>
  <c r="G179" i="6"/>
  <c r="G183" i="6"/>
  <c r="H66" i="18"/>
  <c r="G66" i="18" s="1"/>
  <c r="G185" i="6"/>
  <c r="H68" i="18"/>
  <c r="G68" i="18" s="1"/>
  <c r="G186" i="6"/>
  <c r="H69" i="18"/>
  <c r="G191" i="6"/>
  <c r="G74" i="18"/>
  <c r="G72" i="18" s="1"/>
  <c r="H72" i="18"/>
  <c r="H189" i="6"/>
  <c r="G194" i="6"/>
  <c r="H77" i="18"/>
  <c r="G204" i="6"/>
  <c r="G209" i="6"/>
  <c r="H91" i="18"/>
  <c r="G91" i="18" s="1"/>
  <c r="G212" i="6"/>
  <c r="H94" i="18"/>
  <c r="G94" i="18" s="1"/>
  <c r="G214" i="6"/>
  <c r="H95" i="18"/>
  <c r="E205" i="6"/>
  <c r="D205" i="6" s="1"/>
  <c r="D212" i="6"/>
  <c r="D209" i="6"/>
  <c r="E87" i="18"/>
  <c r="D87" i="18" s="1"/>
  <c r="D91" i="18"/>
  <c r="D204" i="6"/>
  <c r="E86" i="18"/>
  <c r="D86" i="18" s="1"/>
  <c r="D203" i="6"/>
  <c r="E85" i="18"/>
  <c r="D77" i="18"/>
  <c r="E75" i="18"/>
  <c r="D75" i="18" s="1"/>
  <c r="E192" i="6"/>
  <c r="D192" i="6" s="1"/>
  <c r="D194" i="6"/>
  <c r="D191" i="6"/>
  <c r="E74" i="18"/>
  <c r="D189" i="6"/>
  <c r="E181" i="6"/>
  <c r="D181" i="6" s="1"/>
  <c r="D66" i="18"/>
  <c r="E64" i="18"/>
  <c r="D64" i="18" s="1"/>
  <c r="D180" i="6"/>
  <c r="E63" i="18"/>
  <c r="D63" i="18" s="1"/>
  <c r="D179" i="6"/>
  <c r="E62" i="18"/>
  <c r="E10" i="6"/>
  <c r="G215" i="5"/>
  <c r="H107" i="17"/>
  <c r="G107" i="17" s="1"/>
  <c r="G212" i="5"/>
  <c r="H104" i="17"/>
  <c r="G104" i="17" s="1"/>
  <c r="H206" i="5"/>
  <c r="G206" i="5" s="1"/>
  <c r="G210" i="5"/>
  <c r="H102" i="17"/>
  <c r="G196" i="5"/>
  <c r="H88" i="17"/>
  <c r="G88" i="17" s="1"/>
  <c r="G195" i="5"/>
  <c r="H87" i="17"/>
  <c r="G192" i="5"/>
  <c r="G190" i="5" s="1"/>
  <c r="H84" i="17"/>
  <c r="G186" i="5"/>
  <c r="H78" i="17"/>
  <c r="G78" i="17" s="1"/>
  <c r="G185" i="5"/>
  <c r="H77" i="17"/>
  <c r="G77" i="17" s="1"/>
  <c r="H181" i="5"/>
  <c r="G181" i="5" s="1"/>
  <c r="H73" i="17"/>
  <c r="G179" i="5"/>
  <c r="H68" i="17"/>
  <c r="D196" i="5"/>
  <c r="E88" i="17"/>
  <c r="D88" i="17" s="1"/>
  <c r="D195" i="5"/>
  <c r="E87" i="17"/>
  <c r="D192" i="5"/>
  <c r="D190" i="5" s="1"/>
  <c r="D187" i="5"/>
  <c r="D186" i="5"/>
  <c r="D183" i="5"/>
  <c r="E181" i="5"/>
  <c r="D181" i="5" s="1"/>
  <c r="D185" i="10"/>
  <c r="E78" i="13"/>
  <c r="D78" i="13" s="1"/>
  <c r="D208" i="10"/>
  <c r="E101" i="13"/>
  <c r="D101" i="13" s="1"/>
  <c r="D206" i="10"/>
  <c r="E99" i="13"/>
  <c r="D99" i="13" s="1"/>
  <c r="D98" i="13"/>
  <c r="D205" i="10"/>
  <c r="D200" i="10"/>
  <c r="E93" i="13"/>
  <c r="D93" i="13" s="1"/>
  <c r="D190" i="10"/>
  <c r="E83" i="13"/>
  <c r="D187" i="10"/>
  <c r="E80" i="13"/>
  <c r="D176" i="10"/>
  <c r="E69" i="13"/>
  <c r="D69" i="13" s="1"/>
  <c r="D220" i="11"/>
  <c r="E104" i="30"/>
  <c r="D104" i="30" s="1"/>
  <c r="D218" i="11"/>
  <c r="E102" i="30"/>
  <c r="D215" i="11"/>
  <c r="E99" i="30"/>
  <c r="D210" i="11"/>
  <c r="E94" i="30"/>
  <c r="D94" i="30" s="1"/>
  <c r="D209" i="11"/>
  <c r="E93" i="30"/>
  <c r="D200" i="11"/>
  <c r="E84" i="30"/>
  <c r="D197" i="11"/>
  <c r="D195" i="11" s="1"/>
  <c r="E81" i="30"/>
  <c r="D194" i="11"/>
  <c r="E78" i="30"/>
  <c r="D78" i="30" s="1"/>
  <c r="D191" i="11"/>
  <c r="E75" i="30"/>
  <c r="D75" i="30" s="1"/>
  <c r="D190" i="11"/>
  <c r="E74" i="30"/>
  <c r="D74" i="30" s="1"/>
  <c r="D72" i="30"/>
  <c r="D188" i="11"/>
  <c r="D185" i="11"/>
  <c r="E69" i="30"/>
  <c r="D69" i="30" s="1"/>
  <c r="D184" i="11"/>
  <c r="E68" i="30"/>
  <c r="F61" i="13"/>
  <c r="D34" i="13"/>
  <c r="I128" i="6"/>
  <c r="I125" i="6" s="1"/>
  <c r="E189" i="6"/>
  <c r="E201" i="6"/>
  <c r="D201" i="6" s="1"/>
  <c r="H128" i="6"/>
  <c r="H157" i="6"/>
  <c r="G157" i="6" s="1"/>
  <c r="H174" i="6"/>
  <c r="H181" i="6"/>
  <c r="H192" i="6"/>
  <c r="G192" i="6" s="1"/>
  <c r="H205" i="6"/>
  <c r="E71" i="6"/>
  <c r="H71" i="6"/>
  <c r="H198" i="5"/>
  <c r="G198" i="5" s="1"/>
  <c r="H190" i="5"/>
  <c r="H157" i="5"/>
  <c r="G157" i="5" s="1"/>
  <c r="H132" i="5"/>
  <c r="D18" i="13"/>
  <c r="D42" i="13"/>
  <c r="F18" i="13"/>
  <c r="F13" i="13" s="1"/>
  <c r="F10" i="13" s="1"/>
  <c r="D144" i="10"/>
  <c r="D172" i="10"/>
  <c r="E177" i="10"/>
  <c r="D177" i="10" s="1"/>
  <c r="D189" i="10"/>
  <c r="E202" i="10"/>
  <c r="D202" i="10" s="1"/>
  <c r="F128" i="10"/>
  <c r="D128" i="10" s="1"/>
  <c r="D141" i="10"/>
  <c r="D157" i="10"/>
  <c r="D150" i="11"/>
  <c r="E211" i="11"/>
  <c r="D211" i="11" s="1"/>
  <c r="D137" i="11"/>
  <c r="E198" i="11"/>
  <c r="D198" i="11" s="1"/>
  <c r="E70" i="5"/>
  <c r="D129" i="5"/>
  <c r="D145" i="5"/>
  <c r="E193" i="5"/>
  <c r="D193" i="5" s="1"/>
  <c r="D136" i="5"/>
  <c r="E127" i="5"/>
  <c r="D179" i="5"/>
  <c r="E190" i="5"/>
  <c r="E157" i="5"/>
  <c r="D157" i="5" s="1"/>
  <c r="D22" i="13"/>
  <c r="E46" i="13"/>
  <c r="D46" i="13" s="1"/>
  <c r="E123" i="10"/>
  <c r="E186" i="10"/>
  <c r="E153" i="10"/>
  <c r="D153" i="10" s="1"/>
  <c r="E132" i="11"/>
  <c r="E195" i="11"/>
  <c r="E203" i="11"/>
  <c r="D203" i="11" s="1"/>
  <c r="E186" i="11"/>
  <c r="D186" i="11" s="1"/>
  <c r="D162" i="11"/>
  <c r="H22" i="5" l="1"/>
  <c r="H20" i="5" s="1"/>
  <c r="H9" i="5" s="1"/>
  <c r="E70" i="17"/>
  <c r="D70" i="17" s="1"/>
  <c r="D97" i="30"/>
  <c r="E95" i="30"/>
  <c r="D95" i="30" s="1"/>
  <c r="E87" i="30"/>
  <c r="D87" i="30" s="1"/>
  <c r="H177" i="5"/>
  <c r="G177" i="5" s="1"/>
  <c r="E177" i="5"/>
  <c r="D177" i="5" s="1"/>
  <c r="D102" i="30"/>
  <c r="D186" i="10"/>
  <c r="E173" i="10"/>
  <c r="D173" i="10" s="1"/>
  <c r="E207" i="11"/>
  <c r="D207" i="11" s="1"/>
  <c r="F123" i="10"/>
  <c r="F120" i="10" s="1"/>
  <c r="E177" i="6"/>
  <c r="D177" i="6" s="1"/>
  <c r="G189" i="6"/>
  <c r="G81" i="18"/>
  <c r="H79" i="18"/>
  <c r="G79" i="18" s="1"/>
  <c r="H57" i="18"/>
  <c r="G57" i="18" s="1"/>
  <c r="G59" i="18"/>
  <c r="H90" i="17"/>
  <c r="G90" i="17" s="1"/>
  <c r="G92" i="17"/>
  <c r="E70" i="13"/>
  <c r="D70" i="13" s="1"/>
  <c r="D65" i="13"/>
  <c r="E63" i="13"/>
  <c r="D63" i="13" s="1"/>
  <c r="G65" i="17"/>
  <c r="H63" i="17"/>
  <c r="G63" i="17" s="1"/>
  <c r="E87" i="13"/>
  <c r="D87" i="13" s="1"/>
  <c r="D89" i="13"/>
  <c r="H202" i="5"/>
  <c r="G202" i="5" s="1"/>
  <c r="H27" i="6"/>
  <c r="H25" i="6" s="1"/>
  <c r="H9" i="6" s="1"/>
  <c r="H64" i="18"/>
  <c r="G64" i="18" s="1"/>
  <c r="G69" i="18"/>
  <c r="G77" i="18"/>
  <c r="H75" i="18"/>
  <c r="G95" i="18"/>
  <c r="H87" i="18"/>
  <c r="D85" i="18"/>
  <c r="E83" i="18"/>
  <c r="D83" i="18" s="1"/>
  <c r="D74" i="18"/>
  <c r="D72" i="18" s="1"/>
  <c r="E72" i="18"/>
  <c r="E60" i="18" s="1"/>
  <c r="D62" i="18"/>
  <c r="G102" i="17"/>
  <c r="H98" i="17"/>
  <c r="H85" i="17"/>
  <c r="G85" i="17" s="1"/>
  <c r="G87" i="17"/>
  <c r="H82" i="17"/>
  <c r="G84" i="17"/>
  <c r="G82" i="17" s="1"/>
  <c r="H70" i="17"/>
  <c r="G70" i="17" s="1"/>
  <c r="G73" i="17"/>
  <c r="G68" i="17"/>
  <c r="E22" i="5"/>
  <c r="E85" i="17"/>
  <c r="D85" i="17" s="1"/>
  <c r="D87" i="17"/>
  <c r="D84" i="17"/>
  <c r="D82" i="17" s="1"/>
  <c r="E82" i="17"/>
  <c r="E95" i="13"/>
  <c r="D95" i="13" s="1"/>
  <c r="D83" i="13"/>
  <c r="E82" i="13"/>
  <c r="D82" i="13" s="1"/>
  <c r="D80" i="13"/>
  <c r="D79" i="13" s="1"/>
  <c r="E79" i="13"/>
  <c r="D99" i="30"/>
  <c r="D93" i="30"/>
  <c r="D84" i="30"/>
  <c r="E82" i="30"/>
  <c r="D82" i="30" s="1"/>
  <c r="D81" i="30"/>
  <c r="D79" i="30" s="1"/>
  <c r="E79" i="30"/>
  <c r="E70" i="30"/>
  <c r="D68" i="30"/>
  <c r="E13" i="13"/>
  <c r="G181" i="6"/>
  <c r="H177" i="6"/>
  <c r="G177" i="6" s="1"/>
  <c r="G174" i="6"/>
  <c r="E128" i="6"/>
  <c r="D133" i="6"/>
  <c r="G205" i="6"/>
  <c r="H201" i="6"/>
  <c r="G201" i="6" s="1"/>
  <c r="G133" i="6"/>
  <c r="G128" i="6"/>
  <c r="E27" i="6"/>
  <c r="E25" i="6" s="1"/>
  <c r="E9" i="6" s="1"/>
  <c r="G132" i="5"/>
  <c r="H127" i="5"/>
  <c r="E198" i="10"/>
  <c r="D198" i="10" s="1"/>
  <c r="E182" i="11"/>
  <c r="D182" i="11" s="1"/>
  <c r="D127" i="5"/>
  <c r="D132" i="11"/>
  <c r="E172" i="6" l="1"/>
  <c r="D172" i="6" s="1"/>
  <c r="E66" i="17"/>
  <c r="D66" i="17" s="1"/>
  <c r="D70" i="30"/>
  <c r="E66" i="30"/>
  <c r="D66" i="30" s="1"/>
  <c r="D123" i="10"/>
  <c r="H66" i="17"/>
  <c r="G66" i="17" s="1"/>
  <c r="E66" i="13"/>
  <c r="D66" i="13" s="1"/>
  <c r="G75" i="18"/>
  <c r="H60" i="18"/>
  <c r="G87" i="18"/>
  <c r="H83" i="18"/>
  <c r="D60" i="18"/>
  <c r="E55" i="18"/>
  <c r="H94" i="17"/>
  <c r="G94" i="17" s="1"/>
  <c r="G98" i="17"/>
  <c r="H172" i="5"/>
  <c r="G172" i="5" s="1"/>
  <c r="E91" i="13"/>
  <c r="D91" i="13" s="1"/>
  <c r="E168" i="10"/>
  <c r="D168" i="10" s="1"/>
  <c r="E91" i="30"/>
  <c r="D91" i="30" s="1"/>
  <c r="E177" i="11"/>
  <c r="D177" i="11" s="1"/>
  <c r="D13" i="13"/>
  <c r="H172" i="6"/>
  <c r="E125" i="6"/>
  <c r="D125" i="6" s="1"/>
  <c r="L125" i="6" s="1"/>
  <c r="M125" i="6" s="1"/>
  <c r="D128" i="6"/>
  <c r="G127" i="5"/>
  <c r="E172" i="5"/>
  <c r="E120" i="10" l="1"/>
  <c r="D120" i="10" s="1"/>
  <c r="I120" i="10" s="1"/>
  <c r="E61" i="13"/>
  <c r="D61" i="13" s="1"/>
  <c r="E61" i="17"/>
  <c r="D61" i="17" s="1"/>
  <c r="G60" i="18"/>
  <c r="H55" i="18"/>
  <c r="G55" i="18" s="1"/>
  <c r="G83" i="18"/>
  <c r="D55" i="18"/>
  <c r="E10" i="18"/>
  <c r="D10" i="18" s="1"/>
  <c r="H124" i="5"/>
  <c r="G124" i="5" s="1"/>
  <c r="O124" i="5" s="1"/>
  <c r="P124" i="5" s="1"/>
  <c r="H61" i="17"/>
  <c r="G61" i="17" s="1"/>
  <c r="E129" i="11"/>
  <c r="D129" i="11" s="1"/>
  <c r="I129" i="11" s="1"/>
  <c r="E61" i="30"/>
  <c r="E10" i="30" s="1"/>
  <c r="G172" i="6"/>
  <c r="H125" i="6"/>
  <c r="G125" i="6" s="1"/>
  <c r="O125" i="6" s="1"/>
  <c r="P125" i="6" s="1"/>
  <c r="D172" i="5"/>
  <c r="D10" i="30" l="1"/>
  <c r="E9" i="30"/>
  <c r="D9" i="30" s="1"/>
  <c r="E10" i="13"/>
  <c r="D10" i="13" s="1"/>
  <c r="H10" i="18"/>
  <c r="G10" i="18" s="1"/>
  <c r="H10" i="17"/>
  <c r="D61" i="30"/>
  <c r="H124" i="9"/>
  <c r="E213" i="9"/>
  <c r="E101" i="1" s="1"/>
  <c r="E214" i="9"/>
  <c r="E102" i="1" s="1"/>
  <c r="E215" i="9"/>
  <c r="E216" i="9"/>
  <c r="E104" i="1" s="1"/>
  <c r="E105" i="1"/>
  <c r="E219" i="9"/>
  <c r="E107" i="1" s="1"/>
  <c r="E212" i="9"/>
  <c r="E100" i="1" s="1"/>
  <c r="E209" i="9"/>
  <c r="E97" i="1" s="1"/>
  <c r="E208" i="9"/>
  <c r="E96" i="1" s="1"/>
  <c r="E205" i="9"/>
  <c r="E93" i="1" s="1"/>
  <c r="G10" i="17" l="1"/>
  <c r="H9" i="17"/>
  <c r="G9" i="17" s="1"/>
  <c r="E103" i="1"/>
  <c r="E98" i="1" s="1"/>
  <c r="E94" i="1" s="1"/>
  <c r="E210" i="9"/>
  <c r="E204" i="9"/>
  <c r="E198" i="9"/>
  <c r="E86" i="1" s="1"/>
  <c r="E195" i="9"/>
  <c r="E196" i="9"/>
  <c r="D196" i="9" s="1"/>
  <c r="E193" i="9"/>
  <c r="E187" i="9"/>
  <c r="E189" i="9"/>
  <c r="E77" i="1" s="1"/>
  <c r="E190" i="9"/>
  <c r="E191" i="9"/>
  <c r="E185" i="9"/>
  <c r="E74" i="1" s="1"/>
  <c r="D74" i="1" s="1"/>
  <c r="E182" i="9"/>
  <c r="E69" i="1" s="1"/>
  <c r="E68" i="1"/>
  <c r="E178" i="9"/>
  <c r="D219" i="9"/>
  <c r="D216" i="9"/>
  <c r="D215" i="9"/>
  <c r="D214" i="9"/>
  <c r="D213" i="9"/>
  <c r="D212" i="9"/>
  <c r="F210" i="9"/>
  <c r="F206" i="9" s="1"/>
  <c r="D209" i="9"/>
  <c r="D208" i="9"/>
  <c r="D205" i="9"/>
  <c r="D204" i="9"/>
  <c r="D203" i="9"/>
  <c r="F202" i="9"/>
  <c r="F197" i="9"/>
  <c r="F194" i="9"/>
  <c r="F183" i="9"/>
  <c r="F176" i="9"/>
  <c r="D172" i="9"/>
  <c r="D169" i="9"/>
  <c r="D168" i="9"/>
  <c r="D167" i="9"/>
  <c r="D166" i="9"/>
  <c r="D165" i="9"/>
  <c r="F163" i="9"/>
  <c r="D162" i="9"/>
  <c r="D161" i="9"/>
  <c r="F159" i="9"/>
  <c r="D158" i="9"/>
  <c r="D157" i="9"/>
  <c r="D156" i="9"/>
  <c r="F155" i="9"/>
  <c r="E155" i="9"/>
  <c r="D153" i="9"/>
  <c r="D152" i="9"/>
  <c r="D151" i="9"/>
  <c r="F150" i="9"/>
  <c r="E150" i="9"/>
  <c r="D150" i="9" s="1"/>
  <c r="D149" i="9"/>
  <c r="D148" i="9"/>
  <c r="F147" i="9"/>
  <c r="E147" i="9"/>
  <c r="D146" i="9"/>
  <c r="D144" i="9"/>
  <c r="D143" i="9"/>
  <c r="D142" i="9"/>
  <c r="D140" i="9"/>
  <c r="D138" i="9"/>
  <c r="F136" i="9"/>
  <c r="F132" i="9" s="1"/>
  <c r="E136" i="9"/>
  <c r="D135" i="9"/>
  <c r="D134" i="9"/>
  <c r="D131" i="9"/>
  <c r="F129" i="9"/>
  <c r="E129" i="9"/>
  <c r="D123" i="9"/>
  <c r="E132" i="9" l="1"/>
  <c r="D132" i="9" s="1"/>
  <c r="D182" i="9"/>
  <c r="D189" i="9"/>
  <c r="D193" i="9"/>
  <c r="E81" i="1"/>
  <c r="E176" i="9"/>
  <c r="E65" i="1"/>
  <c r="D155" i="9"/>
  <c r="D195" i="9"/>
  <c r="E83" i="1"/>
  <c r="E202" i="9"/>
  <c r="D202" i="9" s="1"/>
  <c r="E92" i="1"/>
  <c r="D187" i="9"/>
  <c r="E75" i="1"/>
  <c r="D200" i="9"/>
  <c r="E88" i="1"/>
  <c r="D199" i="9"/>
  <c r="E87" i="1"/>
  <c r="E194" i="9"/>
  <c r="E84" i="1"/>
  <c r="D191" i="9"/>
  <c r="E79" i="1"/>
  <c r="D190" i="9"/>
  <c r="E78" i="1"/>
  <c r="D185" i="9"/>
  <c r="E73" i="1"/>
  <c r="D181" i="9"/>
  <c r="D163" i="9"/>
  <c r="D129" i="9"/>
  <c r="D178" i="9"/>
  <c r="E159" i="9"/>
  <c r="D159" i="9" s="1"/>
  <c r="D210" i="9"/>
  <c r="D194" i="9"/>
  <c r="D176" i="9"/>
  <c r="F127" i="9"/>
  <c r="F124" i="9" s="1"/>
  <c r="D147" i="9"/>
  <c r="E183" i="9"/>
  <c r="D183" i="9" s="1"/>
  <c r="E197" i="9"/>
  <c r="D197" i="9" s="1"/>
  <c r="D198" i="9"/>
  <c r="F179" i="9"/>
  <c r="F174" i="9" s="1"/>
  <c r="D136" i="9"/>
  <c r="E206" i="9"/>
  <c r="D206" i="9" s="1"/>
  <c r="E70" i="1" l="1"/>
  <c r="E127" i="9"/>
  <c r="D127" i="9" s="1"/>
  <c r="E179" i="9"/>
  <c r="E174" i="9" s="1"/>
  <c r="E124" i="9" l="1"/>
  <c r="D124" i="9" s="1"/>
  <c r="I124" i="9" s="1"/>
  <c r="D179" i="9"/>
  <c r="D174" i="9"/>
  <c r="D107" i="1" l="1"/>
  <c r="D105" i="1"/>
  <c r="D104" i="1"/>
  <c r="D103" i="1"/>
  <c r="D102" i="1"/>
  <c r="D101" i="1"/>
  <c r="D100" i="1"/>
  <c r="F98" i="1"/>
  <c r="F94" i="1" s="1"/>
  <c r="D97" i="1"/>
  <c r="D96" i="1"/>
  <c r="D93" i="1"/>
  <c r="D92" i="1"/>
  <c r="D91" i="1"/>
  <c r="F90" i="1"/>
  <c r="E90" i="1"/>
  <c r="D88" i="1"/>
  <c r="D87" i="1"/>
  <c r="D86" i="1"/>
  <c r="F85" i="1"/>
  <c r="E85" i="1"/>
  <c r="D84" i="1"/>
  <c r="D83" i="1"/>
  <c r="F82" i="1"/>
  <c r="E82" i="1"/>
  <c r="D81" i="1"/>
  <c r="D79" i="1"/>
  <c r="D78" i="1"/>
  <c r="D77" i="1"/>
  <c r="D75" i="1"/>
  <c r="D73" i="1"/>
  <c r="F70" i="1"/>
  <c r="F66" i="1" s="1"/>
  <c r="D69" i="1"/>
  <c r="D68" i="1"/>
  <c r="D65" i="1"/>
  <c r="F63" i="1"/>
  <c r="E63" i="1"/>
  <c r="E66" i="1" l="1"/>
  <c r="E61" i="1" s="1"/>
  <c r="D70" i="1"/>
  <c r="D90" i="1"/>
  <c r="D98" i="1"/>
  <c r="D82" i="1"/>
  <c r="F61" i="1"/>
  <c r="D85" i="1"/>
  <c r="D63" i="1"/>
  <c r="D94" i="1"/>
  <c r="F42" i="1"/>
  <c r="E42" i="1"/>
  <c r="F37" i="1"/>
  <c r="E37" i="1"/>
  <c r="F15" i="1"/>
  <c r="E15" i="1"/>
  <c r="D59" i="1"/>
  <c r="D57" i="1"/>
  <c r="D56" i="1"/>
  <c r="D55" i="1"/>
  <c r="D54" i="1"/>
  <c r="D53" i="1"/>
  <c r="D52" i="1"/>
  <c r="F50" i="1"/>
  <c r="F46" i="1" s="1"/>
  <c r="E46" i="1"/>
  <c r="D49" i="1"/>
  <c r="D48" i="1"/>
  <c r="D43" i="1"/>
  <c r="D40" i="1"/>
  <c r="D39" i="1"/>
  <c r="D38" i="1"/>
  <c r="D35" i="1"/>
  <c r="F34" i="1"/>
  <c r="E34" i="1"/>
  <c r="D33" i="1"/>
  <c r="D31" i="1"/>
  <c r="D30" i="1"/>
  <c r="D29" i="1"/>
  <c r="D27" i="1"/>
  <c r="D25" i="1"/>
  <c r="F22" i="1"/>
  <c r="E22" i="1"/>
  <c r="E18" i="1" s="1"/>
  <c r="D66" i="1" l="1"/>
  <c r="E13" i="1"/>
  <c r="D13" i="1" s="1"/>
  <c r="D15" i="1"/>
  <c r="D21" i="1"/>
  <c r="D50" i="1"/>
  <c r="D17" i="1"/>
  <c r="D46" i="1"/>
  <c r="D22" i="1"/>
  <c r="D37" i="1"/>
  <c r="D34" i="1"/>
  <c r="D45" i="1"/>
  <c r="F18" i="1"/>
  <c r="F13" i="1" s="1"/>
  <c r="F10" i="1" s="1"/>
  <c r="D44" i="1"/>
  <c r="D61" i="1" l="1"/>
  <c r="E10" i="1"/>
  <c r="E9" i="1" s="1"/>
  <c r="D9" i="1" s="1"/>
  <c r="D42" i="1"/>
  <c r="D18" i="1"/>
  <c r="G110" i="6" l="1"/>
  <c r="F94" i="27" s="1"/>
  <c r="D110" i="6"/>
  <c r="F94" i="26" s="1"/>
  <c r="G109" i="6"/>
  <c r="F93" i="27" s="1"/>
  <c r="D109" i="6"/>
  <c r="F93" i="26" s="1"/>
  <c r="G108" i="6"/>
  <c r="F92" i="27" s="1"/>
  <c r="D108" i="6"/>
  <c r="F92" i="26" s="1"/>
  <c r="I106" i="6"/>
  <c r="G106" i="6"/>
  <c r="F106" i="6"/>
  <c r="D106" i="6" s="1"/>
  <c r="G105" i="6"/>
  <c r="F394" i="27" s="1"/>
  <c r="D105" i="6"/>
  <c r="F394" i="26" s="1"/>
  <c r="G103" i="6"/>
  <c r="F392" i="27" s="1"/>
  <c r="D103" i="6"/>
  <c r="F392" i="26" s="1"/>
  <c r="G102" i="6"/>
  <c r="F390" i="27" s="1"/>
  <c r="D102" i="6"/>
  <c r="F390" i="26" s="1"/>
  <c r="G101" i="6"/>
  <c r="F388" i="27" s="1"/>
  <c r="D101" i="6"/>
  <c r="F388" i="26" s="1"/>
  <c r="G100" i="6"/>
  <c r="F386" i="27" s="1"/>
  <c r="D100" i="6"/>
  <c r="F386" i="26" s="1"/>
  <c r="G99" i="6"/>
  <c r="F384" i="27" s="1"/>
  <c r="D99" i="6"/>
  <c r="F384" i="26" s="1"/>
  <c r="G98" i="6"/>
  <c r="F382" i="27" s="1"/>
  <c r="D98" i="6"/>
  <c r="F382" i="26" s="1"/>
  <c r="I92" i="6"/>
  <c r="G92" i="6" s="1"/>
  <c r="F92" i="6"/>
  <c r="D92" i="6" s="1"/>
  <c r="G95" i="6"/>
  <c r="F372" i="27" s="1"/>
  <c r="D95" i="6"/>
  <c r="F372" i="26" s="1"/>
  <c r="G94" i="6"/>
  <c r="F363" i="27" s="1"/>
  <c r="D94" i="6"/>
  <c r="F363" i="26" s="1"/>
  <c r="G91" i="6"/>
  <c r="F247" i="27" s="1"/>
  <c r="D91" i="6"/>
  <c r="F247" i="26" s="1"/>
  <c r="G88" i="6"/>
  <c r="F355" i="27" s="1"/>
  <c r="D88" i="6"/>
  <c r="F355" i="26" s="1"/>
  <c r="G86" i="6"/>
  <c r="F245" i="27" s="1"/>
  <c r="D86" i="6"/>
  <c r="F245" i="26" s="1"/>
  <c r="G84" i="6"/>
  <c r="F230" i="27" s="1"/>
  <c r="D84" i="6"/>
  <c r="F230" i="26" s="1"/>
  <c r="G83" i="6"/>
  <c r="F223" i="27" s="1"/>
  <c r="D83" i="6"/>
  <c r="F223" i="26" s="1"/>
  <c r="G82" i="6"/>
  <c r="F216" i="27" s="1"/>
  <c r="D82" i="6"/>
  <c r="F216" i="26" s="1"/>
  <c r="G81" i="6"/>
  <c r="F353" i="27" s="1"/>
  <c r="D81" i="6"/>
  <c r="F353" i="26" s="1"/>
  <c r="I80" i="6"/>
  <c r="G80" i="6" s="1"/>
  <c r="F80" i="6"/>
  <c r="D80" i="6" s="1"/>
  <c r="G79" i="6"/>
  <c r="F243" i="27" s="1"/>
  <c r="D79" i="6"/>
  <c r="F243" i="26" s="1"/>
  <c r="G78" i="6"/>
  <c r="F241" i="27" s="1"/>
  <c r="D78" i="6"/>
  <c r="F241" i="26" s="1"/>
  <c r="G77" i="6"/>
  <c r="F239" i="27" s="1"/>
  <c r="D77" i="6"/>
  <c r="F239" i="26" s="1"/>
  <c r="G76" i="6"/>
  <c r="F207" i="27" s="1"/>
  <c r="D76" i="6"/>
  <c r="F207" i="26" s="1"/>
  <c r="G75" i="6"/>
  <c r="F200" i="27" s="1"/>
  <c r="D75" i="6"/>
  <c r="F200" i="26" s="1"/>
  <c r="G74" i="6"/>
  <c r="F193" i="27" s="1"/>
  <c r="D74" i="6"/>
  <c r="F193" i="26" s="1"/>
  <c r="I73" i="6"/>
  <c r="G73" i="6" s="1"/>
  <c r="F73" i="6"/>
  <c r="D73" i="6" s="1"/>
  <c r="G72" i="6"/>
  <c r="D72" i="6"/>
  <c r="G70" i="6"/>
  <c r="F177" i="27" s="1"/>
  <c r="D70" i="6"/>
  <c r="F177" i="26" s="1"/>
  <c r="G68" i="6"/>
  <c r="D68" i="6"/>
  <c r="G67" i="6"/>
  <c r="F171" i="27" s="1"/>
  <c r="D67" i="6"/>
  <c r="F171" i="26" s="1"/>
  <c r="I66" i="6"/>
  <c r="G62" i="6" s="1"/>
  <c r="F66" i="6"/>
  <c r="D66" i="6" s="1"/>
  <c r="G64" i="6"/>
  <c r="F185" i="27" s="1"/>
  <c r="D64" i="6"/>
  <c r="F185" i="26" s="1"/>
  <c r="G60" i="6"/>
  <c r="E343" i="27" s="1"/>
  <c r="E343" i="26"/>
  <c r="G59" i="6"/>
  <c r="F332" i="27" s="1"/>
  <c r="D59" i="6"/>
  <c r="F332" i="26" s="1"/>
  <c r="G58" i="6"/>
  <c r="F325" i="27" s="1"/>
  <c r="D58" i="6"/>
  <c r="F325" i="26" s="1"/>
  <c r="G57" i="6"/>
  <c r="F162" i="27" s="1"/>
  <c r="D57" i="6"/>
  <c r="F162" i="26" s="1"/>
  <c r="G56" i="6"/>
  <c r="F156" i="27" s="1"/>
  <c r="D56" i="6"/>
  <c r="F156" i="26" s="1"/>
  <c r="G55" i="6"/>
  <c r="F148" i="27" s="1"/>
  <c r="D55" i="6"/>
  <c r="F148" i="26" s="1"/>
  <c r="I54" i="6"/>
  <c r="G54" i="6" s="1"/>
  <c r="F54" i="6"/>
  <c r="D54" i="6" s="1"/>
  <c r="G53" i="6"/>
  <c r="F313" i="27" s="1"/>
  <c r="D53" i="6"/>
  <c r="F313" i="26" s="1"/>
  <c r="G52" i="6"/>
  <c r="F306" i="27" s="1"/>
  <c r="D52" i="6"/>
  <c r="F306" i="26" s="1"/>
  <c r="I51" i="6"/>
  <c r="F51" i="6"/>
  <c r="G50" i="6"/>
  <c r="F297" i="27" s="1"/>
  <c r="D50" i="6"/>
  <c r="F297" i="26" s="1"/>
  <c r="G49" i="6"/>
  <c r="F289" i="27" s="1"/>
  <c r="D49" i="6"/>
  <c r="F289" i="26" s="1"/>
  <c r="G48" i="6"/>
  <c r="F288" i="27" s="1"/>
  <c r="D48" i="6"/>
  <c r="F288" i="26" s="1"/>
  <c r="G47" i="6"/>
  <c r="F287" i="27" s="1"/>
  <c r="D47" i="6"/>
  <c r="F287" i="26" s="1"/>
  <c r="G46" i="6"/>
  <c r="F286" i="27" s="1"/>
  <c r="D46" i="6"/>
  <c r="F286" i="26" s="1"/>
  <c r="G45" i="6"/>
  <c r="F285" i="27" s="1"/>
  <c r="D45" i="6"/>
  <c r="F285" i="26" s="1"/>
  <c r="I43" i="6"/>
  <c r="G43" i="6" s="1"/>
  <c r="F43" i="6"/>
  <c r="D43" i="6" s="1"/>
  <c r="G42" i="6"/>
  <c r="F276" i="27" s="1"/>
  <c r="D42" i="6"/>
  <c r="F276" i="26" s="1"/>
  <c r="G41" i="6"/>
  <c r="F140" i="27" s="1"/>
  <c r="D41" i="6"/>
  <c r="F140" i="26" s="1"/>
  <c r="I40" i="6"/>
  <c r="F40" i="6"/>
  <c r="F37" i="6" s="1"/>
  <c r="D37" i="6" s="1"/>
  <c r="D40" i="6"/>
  <c r="G39" i="6"/>
  <c r="F266" i="27" s="1"/>
  <c r="D39" i="6"/>
  <c r="F266" i="26" s="1"/>
  <c r="G35" i="6"/>
  <c r="F132" i="27" s="1"/>
  <c r="D35" i="6"/>
  <c r="F132" i="26" s="1"/>
  <c r="I34" i="6"/>
  <c r="G34" i="6" s="1"/>
  <c r="F34" i="6"/>
  <c r="D34" i="6" s="1"/>
  <c r="G33" i="6"/>
  <c r="D33" i="6"/>
  <c r="G32" i="6"/>
  <c r="F124" i="27" s="1"/>
  <c r="D32" i="6"/>
  <c r="F124" i="26" s="1"/>
  <c r="G31" i="6"/>
  <c r="D31" i="6"/>
  <c r="G109" i="5"/>
  <c r="G108" i="5"/>
  <c r="G107" i="5"/>
  <c r="I105" i="5"/>
  <c r="G105" i="5" s="1"/>
  <c r="G104" i="5"/>
  <c r="G102" i="5"/>
  <c r="G101" i="5"/>
  <c r="G100" i="5"/>
  <c r="G99" i="5"/>
  <c r="G98" i="5"/>
  <c r="G97" i="5"/>
  <c r="I95" i="5"/>
  <c r="I91" i="5" s="1"/>
  <c r="G94" i="5"/>
  <c r="G93" i="5"/>
  <c r="G85" i="5"/>
  <c r="G83" i="5"/>
  <c r="G82" i="5"/>
  <c r="G81" i="5"/>
  <c r="G80" i="5"/>
  <c r="I79" i="5"/>
  <c r="G79" i="5" s="1"/>
  <c r="G78" i="5"/>
  <c r="G77" i="5"/>
  <c r="G76" i="5"/>
  <c r="G75" i="5"/>
  <c r="G74" i="5"/>
  <c r="G73" i="5"/>
  <c r="I72" i="5"/>
  <c r="G72" i="5" s="1"/>
  <c r="G71" i="5"/>
  <c r="G69" i="5"/>
  <c r="G67" i="5"/>
  <c r="G66" i="5"/>
  <c r="I65" i="5"/>
  <c r="G63" i="5"/>
  <c r="G59" i="5"/>
  <c r="G58" i="5"/>
  <c r="G57" i="5"/>
  <c r="G56" i="5"/>
  <c r="G55" i="5"/>
  <c r="G54" i="5"/>
  <c r="I53" i="5"/>
  <c r="G53" i="5" s="1"/>
  <c r="G52" i="5"/>
  <c r="G51" i="5"/>
  <c r="I50" i="5"/>
  <c r="G49" i="5"/>
  <c r="G47" i="5"/>
  <c r="G46" i="5"/>
  <c r="G45" i="5"/>
  <c r="G43" i="5"/>
  <c r="G41" i="5"/>
  <c r="I38" i="5"/>
  <c r="G38" i="5" s="1"/>
  <c r="G37" i="5"/>
  <c r="G36" i="5"/>
  <c r="I35" i="5"/>
  <c r="G34" i="5"/>
  <c r="G30" i="5"/>
  <c r="I29" i="5"/>
  <c r="D109" i="5"/>
  <c r="D108" i="5"/>
  <c r="D107" i="5"/>
  <c r="F105" i="5"/>
  <c r="D105" i="5" s="1"/>
  <c r="F95" i="5"/>
  <c r="F91" i="5" s="1"/>
  <c r="D94" i="5"/>
  <c r="D93" i="5"/>
  <c r="D87" i="5"/>
  <c r="D85" i="5"/>
  <c r="D83" i="5"/>
  <c r="D82" i="5"/>
  <c r="D81" i="5"/>
  <c r="D80" i="5"/>
  <c r="F79" i="5"/>
  <c r="D79" i="5" s="1"/>
  <c r="D78" i="5"/>
  <c r="D77" i="5"/>
  <c r="D76" i="5"/>
  <c r="D75" i="5"/>
  <c r="D74" i="5"/>
  <c r="D73" i="5"/>
  <c r="F72" i="5"/>
  <c r="D71" i="5"/>
  <c r="D69" i="5"/>
  <c r="D67" i="5"/>
  <c r="D66" i="5"/>
  <c r="F65" i="5"/>
  <c r="D65" i="5" s="1"/>
  <c r="D63" i="5"/>
  <c r="D59" i="5"/>
  <c r="D58" i="5"/>
  <c r="D57" i="5"/>
  <c r="D56" i="5"/>
  <c r="D55" i="5"/>
  <c r="D54" i="5"/>
  <c r="F53" i="5"/>
  <c r="D53" i="5" s="1"/>
  <c r="D52" i="5"/>
  <c r="D51" i="5"/>
  <c r="F50" i="5"/>
  <c r="D49" i="5"/>
  <c r="D47" i="5"/>
  <c r="D46" i="5"/>
  <c r="D45" i="5"/>
  <c r="D43" i="5"/>
  <c r="D41" i="5"/>
  <c r="F177" i="32" s="1"/>
  <c r="F38" i="5"/>
  <c r="D38" i="5" s="1"/>
  <c r="D37" i="5"/>
  <c r="D36" i="5"/>
  <c r="F35" i="5"/>
  <c r="D35" i="5" s="1"/>
  <c r="D34" i="5"/>
  <c r="D30" i="5"/>
  <c r="F29" i="5"/>
  <c r="D105" i="10"/>
  <c r="D104" i="10"/>
  <c r="D103" i="10"/>
  <c r="F101" i="10"/>
  <c r="E101" i="10"/>
  <c r="D100" i="10"/>
  <c r="D97" i="10"/>
  <c r="D96" i="10"/>
  <c r="D95" i="10"/>
  <c r="D94" i="10"/>
  <c r="D93" i="10"/>
  <c r="F91" i="10"/>
  <c r="F87" i="10" s="1"/>
  <c r="E87" i="10"/>
  <c r="D90" i="10"/>
  <c r="D89" i="10"/>
  <c r="D86" i="10"/>
  <c r="D81" i="10"/>
  <c r="D79" i="10"/>
  <c r="D78" i="10"/>
  <c r="D77" i="10"/>
  <c r="D76" i="10"/>
  <c r="F75" i="10"/>
  <c r="D74" i="10"/>
  <c r="D73" i="10"/>
  <c r="D72" i="10"/>
  <c r="D71" i="10"/>
  <c r="D70" i="10"/>
  <c r="D69" i="10"/>
  <c r="F68" i="10"/>
  <c r="E68" i="10"/>
  <c r="D67" i="10"/>
  <c r="D65" i="10"/>
  <c r="D63" i="10"/>
  <c r="D62" i="10"/>
  <c r="F61" i="10"/>
  <c r="F57" i="10" s="1"/>
  <c r="D59" i="10"/>
  <c r="D54" i="10"/>
  <c r="F25" i="29" s="1"/>
  <c r="D53" i="10"/>
  <c r="D52" i="10"/>
  <c r="D51" i="10"/>
  <c r="D50" i="10"/>
  <c r="F49" i="10"/>
  <c r="E49" i="10"/>
  <c r="E28" i="10" s="1"/>
  <c r="D48" i="10"/>
  <c r="D47" i="10"/>
  <c r="F46" i="10"/>
  <c r="E46" i="10"/>
  <c r="D45" i="10"/>
  <c r="D43" i="10"/>
  <c r="D42" i="10"/>
  <c r="D41" i="10"/>
  <c r="D39" i="10"/>
  <c r="D37" i="10"/>
  <c r="F34" i="10"/>
  <c r="D33" i="10"/>
  <c r="D32" i="10"/>
  <c r="F31" i="10"/>
  <c r="D30" i="10"/>
  <c r="D26" i="10"/>
  <c r="F25" i="10"/>
  <c r="F20" i="10" s="1"/>
  <c r="D24" i="10"/>
  <c r="D23" i="10"/>
  <c r="D22" i="10"/>
  <c r="D114" i="11"/>
  <c r="D113" i="11"/>
  <c r="D112" i="11"/>
  <c r="F110" i="11"/>
  <c r="E110" i="11"/>
  <c r="D109" i="11"/>
  <c r="F139" i="15" s="1"/>
  <c r="F136" i="15"/>
  <c r="D106" i="11"/>
  <c r="F134" i="15" s="1"/>
  <c r="D105" i="11"/>
  <c r="F132" i="15" s="1"/>
  <c r="D104" i="11"/>
  <c r="F130" i="15" s="1"/>
  <c r="D103" i="11"/>
  <c r="F128" i="15" s="1"/>
  <c r="D102" i="11"/>
  <c r="F126" i="15" s="1"/>
  <c r="F100" i="11"/>
  <c r="F96" i="11" s="1"/>
  <c r="E96" i="11"/>
  <c r="D99" i="11"/>
  <c r="D98" i="11"/>
  <c r="F116" i="15" s="1"/>
  <c r="F117" i="15" s="1"/>
  <c r="D95" i="11"/>
  <c r="D92" i="11"/>
  <c r="D90" i="11"/>
  <c r="D88" i="11"/>
  <c r="D87" i="11"/>
  <c r="D86" i="11"/>
  <c r="D85" i="11"/>
  <c r="F84" i="11"/>
  <c r="D83" i="11"/>
  <c r="D82" i="11"/>
  <c r="D81" i="11"/>
  <c r="D80" i="11"/>
  <c r="D79" i="11"/>
  <c r="F64" i="15" s="1"/>
  <c r="D78" i="11"/>
  <c r="F77" i="11"/>
  <c r="E77" i="11"/>
  <c r="D76" i="11"/>
  <c r="D74" i="11"/>
  <c r="D72" i="11"/>
  <c r="D71" i="11"/>
  <c r="F70" i="11"/>
  <c r="F66" i="11" s="1"/>
  <c r="E70" i="11"/>
  <c r="D68" i="11"/>
  <c r="D64" i="11"/>
  <c r="D63" i="11"/>
  <c r="F97" i="15" s="1"/>
  <c r="D62" i="11"/>
  <c r="D61" i="11"/>
  <c r="D60" i="11"/>
  <c r="D59" i="11"/>
  <c r="F50" i="15" s="1"/>
  <c r="F58" i="11"/>
  <c r="E58" i="11"/>
  <c r="D57" i="11"/>
  <c r="F87" i="15" s="1"/>
  <c r="D56" i="11"/>
  <c r="F55" i="11"/>
  <c r="E55" i="11"/>
  <c r="D54" i="11"/>
  <c r="D52" i="11"/>
  <c r="D51" i="11"/>
  <c r="D50" i="11"/>
  <c r="D48" i="11"/>
  <c r="D46" i="11"/>
  <c r="F43" i="11"/>
  <c r="E43" i="11"/>
  <c r="D42" i="11"/>
  <c r="D41" i="11"/>
  <c r="F40" i="11"/>
  <c r="E40" i="11"/>
  <c r="D39" i="11"/>
  <c r="D35" i="11"/>
  <c r="F34" i="11"/>
  <c r="F29" i="11" s="1"/>
  <c r="E34" i="11"/>
  <c r="E29" i="11" s="1"/>
  <c r="D33" i="11"/>
  <c r="D32" i="11"/>
  <c r="D31" i="11"/>
  <c r="F169" i="24" l="1"/>
  <c r="F169" i="32"/>
  <c r="F182" i="24"/>
  <c r="F182" i="32"/>
  <c r="E273" i="24"/>
  <c r="E273" i="32"/>
  <c r="F142" i="24"/>
  <c r="F142" i="32"/>
  <c r="F184" i="24"/>
  <c r="F184" i="32"/>
  <c r="F237" i="24"/>
  <c r="F237" i="32"/>
  <c r="F149" i="24"/>
  <c r="F149" i="32"/>
  <c r="F178" i="24"/>
  <c r="F178" i="32"/>
  <c r="F155" i="24"/>
  <c r="F155" i="32"/>
  <c r="F180" i="24"/>
  <c r="F180" i="32"/>
  <c r="F265" i="24"/>
  <c r="F265" i="32"/>
  <c r="F135" i="24"/>
  <c r="F135" i="32"/>
  <c r="G40" i="6"/>
  <c r="I37" i="6"/>
  <c r="F70" i="5"/>
  <c r="D70" i="5" s="1"/>
  <c r="F177" i="24"/>
  <c r="E37" i="11"/>
  <c r="E66" i="10"/>
  <c r="D70" i="11"/>
  <c r="D110" i="11"/>
  <c r="D34" i="10"/>
  <c r="D49" i="10"/>
  <c r="D50" i="5"/>
  <c r="E75" i="11"/>
  <c r="D61" i="10"/>
  <c r="D101" i="10"/>
  <c r="D29" i="5"/>
  <c r="G107" i="27"/>
  <c r="D116" i="27" s="1"/>
  <c r="B116" i="27"/>
  <c r="B116" i="26"/>
  <c r="G107" i="26"/>
  <c r="D116" i="26" s="1"/>
  <c r="D46" i="10"/>
  <c r="G33" i="15"/>
  <c r="D42" i="15" s="1"/>
  <c r="B42" i="15"/>
  <c r="I29" i="6"/>
  <c r="G29" i="6" s="1"/>
  <c r="D96" i="6"/>
  <c r="D51" i="6"/>
  <c r="F71" i="6"/>
  <c r="D71" i="6" s="1"/>
  <c r="F29" i="6"/>
  <c r="G37" i="6"/>
  <c r="G96" i="6"/>
  <c r="G66" i="6"/>
  <c r="I71" i="6"/>
  <c r="G71" i="6" s="1"/>
  <c r="G51" i="6"/>
  <c r="D72" i="5"/>
  <c r="I70" i="5"/>
  <c r="G70" i="5" s="1"/>
  <c r="G50" i="5"/>
  <c r="F66" i="10"/>
  <c r="D91" i="10"/>
  <c r="D25" i="10"/>
  <c r="D31" i="10"/>
  <c r="D87" i="10"/>
  <c r="F28" i="10"/>
  <c r="D68" i="10"/>
  <c r="D75" i="10"/>
  <c r="D34" i="11"/>
  <c r="D40" i="11"/>
  <c r="D58" i="11"/>
  <c r="D66" i="11"/>
  <c r="F75" i="11"/>
  <c r="F27" i="11" s="1"/>
  <c r="F25" i="11" s="1"/>
  <c r="F37" i="11"/>
  <c r="D77" i="11"/>
  <c r="G35" i="5"/>
  <c r="G65" i="5"/>
  <c r="F32" i="5"/>
  <c r="F27" i="5" s="1"/>
  <c r="D27" i="5" s="1"/>
  <c r="G29" i="5"/>
  <c r="F61" i="5"/>
  <c r="D61" i="5" s="1"/>
  <c r="I32" i="5"/>
  <c r="I28" i="5" s="1"/>
  <c r="G28" i="5" s="1"/>
  <c r="I61" i="5"/>
  <c r="G61" i="5" s="1"/>
  <c r="G95" i="5"/>
  <c r="D55" i="11"/>
  <c r="G91" i="5"/>
  <c r="E20" i="10"/>
  <c r="D28" i="10"/>
  <c r="D57" i="10"/>
  <c r="D96" i="11"/>
  <c r="D43" i="11"/>
  <c r="D100" i="11"/>
  <c r="D29" i="11"/>
  <c r="F186" i="24" l="1"/>
  <c r="F186" i="32"/>
  <c r="F127" i="24"/>
  <c r="F127" i="32"/>
  <c r="F42" i="15"/>
  <c r="I26" i="5"/>
  <c r="G26" i="5" s="1"/>
  <c r="I27" i="5"/>
  <c r="G27" i="5" s="1"/>
  <c r="D32" i="5"/>
  <c r="F28" i="5"/>
  <c r="D66" i="10"/>
  <c r="F18" i="10"/>
  <c r="F16" i="10" s="1"/>
  <c r="D75" i="11"/>
  <c r="D37" i="11"/>
  <c r="F116" i="27"/>
  <c r="J9" i="27" s="1"/>
  <c r="F116" i="26"/>
  <c r="J9" i="26" s="1"/>
  <c r="F27" i="6"/>
  <c r="F25" i="6" s="1"/>
  <c r="D25" i="6" s="1"/>
  <c r="D29" i="6"/>
  <c r="I27" i="6"/>
  <c r="I25" i="6" s="1"/>
  <c r="G25" i="6" s="1"/>
  <c r="E27" i="11"/>
  <c r="G32" i="5"/>
  <c r="E18" i="10"/>
  <c r="D20" i="10"/>
  <c r="I24" i="5" l="1"/>
  <c r="I22" i="5" s="1"/>
  <c r="I20" i="5" s="1"/>
  <c r="G20" i="5" s="1"/>
  <c r="D28" i="5"/>
  <c r="F26" i="5"/>
  <c r="G27" i="6"/>
  <c r="D27" i="6"/>
  <c r="E25" i="11"/>
  <c r="D27" i="11"/>
  <c r="D18" i="10"/>
  <c r="E16" i="10"/>
  <c r="G24" i="5" l="1"/>
  <c r="G22" i="5"/>
  <c r="D26" i="5"/>
  <c r="B119" i="32" s="1"/>
  <c r="F119" i="32" s="1"/>
  <c r="F24" i="5"/>
  <c r="D16" i="10"/>
  <c r="J120" i="10"/>
  <c r="D25" i="11"/>
  <c r="J129" i="11"/>
  <c r="F29" i="9"/>
  <c r="F24" i="9" s="1"/>
  <c r="E29" i="9"/>
  <c r="E24" i="9" s="1"/>
  <c r="D30" i="9"/>
  <c r="F22" i="5" l="1"/>
  <c r="D24" i="5"/>
  <c r="B119" i="24"/>
  <c r="F119" i="24" s="1"/>
  <c r="D29" i="9"/>
  <c r="F53" i="9"/>
  <c r="D56" i="9"/>
  <c r="F20" i="5" l="1"/>
  <c r="D22" i="5"/>
  <c r="D109" i="9"/>
  <c r="D108" i="9"/>
  <c r="D107" i="9"/>
  <c r="F105" i="9"/>
  <c r="E105" i="9"/>
  <c r="D104" i="9"/>
  <c r="F336" i="28" s="1"/>
  <c r="D102" i="9"/>
  <c r="F318" i="28" s="1"/>
  <c r="D101" i="9"/>
  <c r="F314" i="28" s="1"/>
  <c r="D100" i="9"/>
  <c r="F312" i="28" s="1"/>
  <c r="D99" i="9"/>
  <c r="F310" i="28" s="1"/>
  <c r="D98" i="9"/>
  <c r="F308" i="28" s="1"/>
  <c r="D97" i="9"/>
  <c r="F306" i="28" s="1"/>
  <c r="F95" i="9"/>
  <c r="E91" i="9"/>
  <c r="D94" i="9"/>
  <c r="F297" i="28" s="1"/>
  <c r="D93" i="9"/>
  <c r="D90" i="9"/>
  <c r="D87" i="9"/>
  <c r="D85" i="9"/>
  <c r="D83" i="9"/>
  <c r="D82" i="9"/>
  <c r="D81" i="9"/>
  <c r="D80" i="9"/>
  <c r="F79" i="9"/>
  <c r="E79" i="9"/>
  <c r="D75" i="9"/>
  <c r="F177" i="28" s="1"/>
  <c r="D74" i="9"/>
  <c r="F171" i="28" s="1"/>
  <c r="D73" i="9"/>
  <c r="F164" i="28" s="1"/>
  <c r="F72" i="9"/>
  <c r="E72" i="9"/>
  <c r="D71" i="9"/>
  <c r="D66" i="9"/>
  <c r="F149" i="28" s="1"/>
  <c r="F65" i="9"/>
  <c r="F61" i="9" s="1"/>
  <c r="D59" i="9"/>
  <c r="E286" i="28" s="1"/>
  <c r="D58" i="9"/>
  <c r="F278" i="28" s="1"/>
  <c r="D57" i="9"/>
  <c r="D55" i="9"/>
  <c r="D54" i="9"/>
  <c r="D52" i="9"/>
  <c r="F259" i="28" s="1"/>
  <c r="D51" i="9"/>
  <c r="F50" i="9"/>
  <c r="E50" i="9"/>
  <c r="D49" i="9"/>
  <c r="D47" i="9"/>
  <c r="F215" i="28" s="1"/>
  <c r="D46" i="9"/>
  <c r="F213" i="28" s="1"/>
  <c r="D45" i="9"/>
  <c r="F211" i="28" s="1"/>
  <c r="D43" i="9"/>
  <c r="F209" i="28" s="1"/>
  <c r="D41" i="9"/>
  <c r="F208" i="28" s="1"/>
  <c r="F38" i="9"/>
  <c r="D37" i="9"/>
  <c r="D36" i="9"/>
  <c r="F35" i="9"/>
  <c r="E35" i="9"/>
  <c r="D34" i="9"/>
  <c r="F191" i="28" s="1"/>
  <c r="F189" i="28" s="1"/>
  <c r="D28" i="9"/>
  <c r="D27" i="9"/>
  <c r="F133" i="28" s="1"/>
  <c r="D26" i="9"/>
  <c r="D19" i="9"/>
  <c r="D18" i="9"/>
  <c r="F16" i="9"/>
  <c r="F11" i="28"/>
  <c r="D24" i="11"/>
  <c r="D23" i="11"/>
  <c r="E21" i="11"/>
  <c r="D20" i="11"/>
  <c r="D19" i="11"/>
  <c r="F17" i="11"/>
  <c r="E17" i="11"/>
  <c r="D16" i="11"/>
  <c r="D15" i="11"/>
  <c r="D14" i="11"/>
  <c r="D19" i="15" s="1"/>
  <c r="D12" i="11"/>
  <c r="D8" i="11"/>
  <c r="F217" i="28" l="1"/>
  <c r="E32" i="9"/>
  <c r="D32" i="9" s="1"/>
  <c r="F11" i="26"/>
  <c r="F84" i="14"/>
  <c r="E10" i="11"/>
  <c r="E9" i="11" s="1"/>
  <c r="F70" i="9"/>
  <c r="E70" i="9"/>
  <c r="D17" i="11"/>
  <c r="D24" i="9"/>
  <c r="D105" i="9"/>
  <c r="D35" i="9"/>
  <c r="F10" i="9"/>
  <c r="D50" i="9"/>
  <c r="D79" i="9"/>
  <c r="D77" i="9"/>
  <c r="D95" i="9"/>
  <c r="D65" i="9"/>
  <c r="B125" i="28" s="1"/>
  <c r="D53" i="9"/>
  <c r="F32" i="9"/>
  <c r="D69" i="9"/>
  <c r="D78" i="9"/>
  <c r="D16" i="9"/>
  <c r="D38" i="9"/>
  <c r="D63" i="9"/>
  <c r="D76" i="9"/>
  <c r="D72" i="9"/>
  <c r="F91" i="9"/>
  <c r="D91" i="9" s="1"/>
  <c r="F21" i="11"/>
  <c r="D13" i="10"/>
  <c r="F12" i="10"/>
  <c r="F10" i="10" s="1"/>
  <c r="F9" i="10" s="1"/>
  <c r="D10" i="10"/>
  <c r="F125" i="28" l="1"/>
  <c r="E22" i="9"/>
  <c r="E20" i="9" s="1"/>
  <c r="E9" i="9" s="1"/>
  <c r="F12" i="29"/>
  <c r="E9" i="10"/>
  <c r="F22" i="9"/>
  <c r="D70" i="9"/>
  <c r="D21" i="11"/>
  <c r="F10" i="11"/>
  <c r="F9" i="11" s="1"/>
  <c r="D9" i="11" s="1"/>
  <c r="D12" i="10"/>
  <c r="D10" i="11" l="1"/>
  <c r="J124" i="9"/>
  <c r="D22" i="9"/>
  <c r="F20" i="9"/>
  <c r="F9" i="9" s="1"/>
  <c r="D9" i="10" l="1"/>
  <c r="D20" i="9"/>
  <c r="D9" i="9"/>
  <c r="G24" i="6" l="1"/>
  <c r="F84" i="27" s="1"/>
  <c r="G23" i="6"/>
  <c r="F78" i="27" s="1"/>
  <c r="I21" i="6"/>
  <c r="G20" i="6"/>
  <c r="F70" i="27" s="1"/>
  <c r="G19" i="6"/>
  <c r="F64" i="27" s="1"/>
  <c r="I17" i="6"/>
  <c r="G16" i="6"/>
  <c r="F48" i="27" s="1"/>
  <c r="G15" i="6"/>
  <c r="F32" i="27" s="1"/>
  <c r="G14" i="6"/>
  <c r="D40" i="27" s="1"/>
  <c r="G13" i="6"/>
  <c r="F26" i="27" s="1"/>
  <c r="G12" i="6"/>
  <c r="D24" i="6"/>
  <c r="F84" i="26" s="1"/>
  <c r="F21" i="6"/>
  <c r="D23" i="6"/>
  <c r="F78" i="26" s="1"/>
  <c r="F17" i="6"/>
  <c r="D19" i="6"/>
  <c r="F64" i="26" s="1"/>
  <c r="D16" i="6"/>
  <c r="F48" i="26" s="1"/>
  <c r="D15" i="6"/>
  <c r="F32" i="26" s="1"/>
  <c r="D14" i="6"/>
  <c r="D40" i="26" s="1"/>
  <c r="D13" i="6"/>
  <c r="F26" i="26" s="1"/>
  <c r="D12" i="6"/>
  <c r="D8" i="6"/>
  <c r="G19" i="5"/>
  <c r="G18" i="5"/>
  <c r="I16" i="5"/>
  <c r="G12" i="5"/>
  <c r="G8" i="5"/>
  <c r="D19" i="5"/>
  <c r="D18" i="5"/>
  <c r="F16" i="5"/>
  <c r="D12" i="5"/>
  <c r="D8" i="5"/>
  <c r="I9" i="27" l="1"/>
  <c r="H9" i="27"/>
  <c r="H9" i="26"/>
  <c r="D21" i="6"/>
  <c r="G16" i="5"/>
  <c r="G17" i="6"/>
  <c r="F10" i="5"/>
  <c r="F9" i="5" s="1"/>
  <c r="I10" i="5"/>
  <c r="I9" i="5" s="1"/>
  <c r="G21" i="6"/>
  <c r="D16" i="5"/>
  <c r="G8" i="6"/>
  <c r="I10" i="6"/>
  <c r="I9" i="6" s="1"/>
  <c r="D17" i="6"/>
  <c r="F10" i="6"/>
  <c r="F9" i="6" s="1"/>
  <c r="D20" i="6"/>
  <c r="F70" i="26" s="1"/>
  <c r="I9" i="26" s="1"/>
  <c r="K9" i="27" l="1"/>
  <c r="K9" i="26"/>
  <c r="G10" i="6"/>
  <c r="D10" i="6"/>
  <c r="G10" i="5"/>
  <c r="D10" i="5"/>
  <c r="G9" i="6" l="1"/>
  <c r="G9" i="5"/>
  <c r="D9" i="6" l="1"/>
  <c r="D10" i="1" l="1"/>
  <c r="E211" i="5"/>
  <c r="E103" i="17" s="1"/>
  <c r="D103" i="17" s="1"/>
  <c r="D104" i="5"/>
  <c r="E215" i="5"/>
  <c r="E107" i="17" s="1"/>
  <c r="D107" i="17" s="1"/>
  <c r="D100" i="5"/>
  <c r="D98" i="5"/>
  <c r="E209" i="5"/>
  <c r="D209" i="5" s="1"/>
  <c r="D101" i="5"/>
  <c r="E212" i="5"/>
  <c r="E104" i="17" s="1"/>
  <c r="D104" i="17" s="1"/>
  <c r="D99" i="5"/>
  <c r="E210" i="5"/>
  <c r="E102" i="17" s="1"/>
  <c r="D102" i="17" s="1"/>
  <c r="E208" i="5"/>
  <c r="E100" i="17" s="1"/>
  <c r="D102" i="5"/>
  <c r="E213" i="5"/>
  <c r="D213" i="5" s="1"/>
  <c r="D97" i="5"/>
  <c r="D95" i="5"/>
  <c r="E91" i="5"/>
  <c r="E20" i="5" s="1"/>
  <c r="F312" i="24" l="1"/>
  <c r="F312" i="32"/>
  <c r="F291" i="24"/>
  <c r="F291" i="32"/>
  <c r="F283" i="24"/>
  <c r="F283" i="32"/>
  <c r="F287" i="24"/>
  <c r="F287" i="32"/>
  <c r="F285" i="24"/>
  <c r="F285" i="32"/>
  <c r="F295" i="24"/>
  <c r="F295" i="32"/>
  <c r="F289" i="24"/>
  <c r="F289" i="32"/>
  <c r="E105" i="17"/>
  <c r="D105" i="17" s="1"/>
  <c r="D212" i="5"/>
  <c r="E101" i="17"/>
  <c r="D101" i="17" s="1"/>
  <c r="D210" i="5"/>
  <c r="D211" i="5"/>
  <c r="D208" i="5"/>
  <c r="E206" i="5"/>
  <c r="D206" i="5" s="1"/>
  <c r="D100" i="17"/>
  <c r="D20" i="5"/>
  <c r="E9" i="5"/>
  <c r="D9" i="5" s="1"/>
  <c r="D91" i="5"/>
  <c r="D215" i="5"/>
  <c r="E202" i="5" l="1"/>
  <c r="D202" i="5" s="1"/>
  <c r="E98" i="17"/>
  <c r="D98" i="17" s="1"/>
  <c r="E124" i="5" l="1"/>
  <c r="D124" i="5" s="1"/>
  <c r="E94" i="17"/>
  <c r="D94" i="17" s="1"/>
  <c r="B114" i="28"/>
  <c r="D114" i="28"/>
  <c r="F114" i="28"/>
  <c r="E10" i="17" l="1"/>
  <c r="D10" i="17" s="1"/>
  <c r="E9" i="17"/>
  <c r="D9" i="17" s="1"/>
  <c r="L124" i="5"/>
  <c r="M124" i="5" s="1"/>
  <c r="E41" i="24"/>
  <c r="E42" i="28"/>
  <c r="E41" i="32"/>
</calcChain>
</file>

<file path=xl/sharedStrings.xml><?xml version="1.0" encoding="utf-8"?>
<sst xmlns="http://schemas.openxmlformats.org/spreadsheetml/2006/main" count="4692" uniqueCount="503">
  <si>
    <t>Наименование показателя</t>
  </si>
  <si>
    <t>Всего</t>
  </si>
  <si>
    <t>в том числе</t>
  </si>
  <si>
    <t>по лицевым счетам, открытым в органах, осуществляющих ведение лицевых счетов учреждений</t>
  </si>
  <si>
    <t>операции по счетам, открытым в кредитных организациях</t>
  </si>
  <si>
    <t>X</t>
  </si>
  <si>
    <t>в том числе:</t>
  </si>
  <si>
    <t>Выплаты, всего:</t>
  </si>
  <si>
    <t>Расходы, всего</t>
  </si>
  <si>
    <t>из них:</t>
  </si>
  <si>
    <t>Оплата труда и начисления на выплаты по оплате труда, всего</t>
  </si>
  <si>
    <t>Заработная плата</t>
  </si>
  <si>
    <t>Прочие несоциальные выплаты персоналу в денежной форме</t>
  </si>
  <si>
    <t>Начисления на выплаты по оплате труда</t>
  </si>
  <si>
    <t>Оплата работ, услуг, всего</t>
  </si>
  <si>
    <t>Услуги связи</t>
  </si>
  <si>
    <t>Транспортные услуги, всего</t>
  </si>
  <si>
    <t>Коммунальные услуги</t>
  </si>
  <si>
    <t>Оплата отопления и технологических нужд</t>
  </si>
  <si>
    <t>Оплата потребления газа</t>
  </si>
  <si>
    <t>Оплата потребления электрической энергии</t>
  </si>
  <si>
    <t>Оплата водоснабжения и водоотведения помещений</t>
  </si>
  <si>
    <t>Оплата твердых коммунальных отходов</t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</si>
  <si>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</si>
  <si>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</si>
  <si>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Страхование</t>
  </si>
  <si>
    <t>Социальное обеспечение</t>
  </si>
  <si>
    <t>Пенсии, пособия, выплачиваемые работодателями, нанимателями бывшим работникам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</si>
  <si>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</si>
  <si>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</si>
  <si>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Прочие расходы</t>
  </si>
  <si>
    <t>Налоги, пошлины и сборы</t>
  </si>
  <si>
    <t>Штрафы за нарушение законодательства о налогах и сборах, законодательства о страховых взносах</t>
  </si>
  <si>
    <t>Штрафы за нарушение законодательства о закупках и нарушений условий контрактов (договоров)</t>
  </si>
  <si>
    <t>Иные выплаты текущего характера физическим лицам</t>
  </si>
  <si>
    <t>Иные выплаты текущего характера организациям</t>
  </si>
  <si>
    <t>Увеличение стоимости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</si>
  <si>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</si>
  <si>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</si>
  <si>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</si>
  <si>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</si>
  <si>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</si>
  <si>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</si>
  <si>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прочих материальных запасов однократного применения</t>
  </si>
  <si>
    <t>«___» __________ 20___ г.</t>
  </si>
  <si>
    <t>Код бюджетной классификации Российской Федерации</t>
  </si>
  <si>
    <t>Аналитический код</t>
  </si>
  <si>
    <t>Остаток средств на начало текущего финансового года</t>
  </si>
  <si>
    <t>Остаток средств на конец текущего финансового года</t>
  </si>
  <si>
    <t>Доходы, всего:</t>
  </si>
  <si>
    <t>Прочие поступления, всего</t>
  </si>
  <si>
    <t>(рублей)</t>
  </si>
  <si>
    <t xml:space="preserve">Руководитель учреждения            </t>
  </si>
  <si>
    <t xml:space="preserve">(подпись)  </t>
  </si>
  <si>
    <t>(расшифровка подписи)</t>
  </si>
  <si>
    <t xml:space="preserve">Главный бухгалтер учреждения       </t>
  </si>
  <si>
    <t xml:space="preserve">Исполнитель                          </t>
  </si>
  <si>
    <t xml:space="preserve">тел. </t>
  </si>
  <si>
    <t>Прочие работы, услуги</t>
  </si>
  <si>
    <t>Поступление нефинансовых активов, всего</t>
  </si>
  <si>
    <t>Увеличение стоимости материальных запасов, всего</t>
  </si>
  <si>
    <t>Доходы от операций с активами, всего</t>
  </si>
  <si>
    <t>Прочие доходы</t>
  </si>
  <si>
    <t>Безвомездные денежные поступления</t>
  </si>
  <si>
    <t>Доходы от штрафов, пеней, иных сумм принудительного изъятия</t>
  </si>
  <si>
    <t>Доходы от оказания услуг, работ, компенсации затрат учреждений</t>
  </si>
  <si>
    <t>Доходы от собственности</t>
  </si>
  <si>
    <t>Выплаты, уменьшающие доход, всего</t>
  </si>
  <si>
    <t>Увеличение стоимости нематериальных активов</t>
  </si>
  <si>
    <t>Субсидии на финансовое обеспечение выполнения государственного задания</t>
  </si>
  <si>
    <t>Увеличение остатков денежных средств за счет возврата дебиторской задолженности прошлых лет</t>
  </si>
  <si>
    <t>От выбытия основных средств</t>
  </si>
  <si>
    <t>От выбытия материальных запасов</t>
  </si>
  <si>
    <t>20___ г.</t>
  </si>
  <si>
    <t>(за счет приносящей доход деятельности) на плановый период 20___ и 20___ годов</t>
  </si>
  <si>
    <t>(за счет целевых субсидий) на плановый период 20___ и 20___ годов</t>
  </si>
  <si>
    <t>Должность по штатному расписанию, единиц</t>
  </si>
  <si>
    <t>Численность, единиц</t>
  </si>
  <si>
    <t>Среднемесячный размер оплаты труда на одного работника, руб.</t>
  </si>
  <si>
    <t>Фонд оплаты труда в год              (гр.2 х гр.3 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</si>
  <si>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</si>
  <si>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</si>
  <si>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</si>
  <si>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</si>
  <si>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Штатная численность, единиц</t>
  </si>
  <si>
    <t>Начисления на выплаты по оплате труда, руб. (213)</t>
  </si>
  <si>
    <t>Наименование</t>
  </si>
  <si>
    <t>Количество работников, чел.</t>
  </si>
  <si>
    <t>Средний размер выплаты на одного работника в день, руб.</t>
  </si>
  <si>
    <t>Количество дней</t>
  </si>
  <si>
    <t>Сумма, руб. (гр.2 х гр.3 х гр.4)</t>
  </si>
  <si>
    <t>Суточные</t>
  </si>
  <si>
    <t>Количество услуг перевозки, шт.</t>
  </si>
  <si>
    <t>Цена услуги перевозки, руб.</t>
  </si>
  <si>
    <t>Сумма, руб. (гр.2 х гр.3)</t>
  </si>
  <si>
    <t>Служебные командировки</t>
  </si>
  <si>
    <t>Количество участников, чел.</t>
  </si>
  <si>
    <t>Средний размер выплаты на одного участника в день, руб.</t>
  </si>
  <si>
    <t>Суточные, денежные средства спортсменам на мероприятиях</t>
  </si>
  <si>
    <t>Численность работников, получающий пособие</t>
  </si>
  <si>
    <t>Средний размер выплат в год на одного работника</t>
  </si>
  <si>
    <t xml:space="preserve">Сумма, руб. (гр.2 х гр.3) </t>
  </si>
  <si>
    <t>Пособие за первые три дня временной нетрудоспособности</t>
  </si>
  <si>
    <t>Количество выплат в год на одного работника</t>
  </si>
  <si>
    <t>Размер выплаты (пособия) в месяц, руб.</t>
  </si>
  <si>
    <t>Пособие по уходу за ребенком</t>
  </si>
  <si>
    <t>Размер одной выплаты, руб.</t>
  </si>
  <si>
    <t xml:space="preserve">Количество выплат в год </t>
  </si>
  <si>
    <t>Общая сумма выплат, руб. (гр.2 х гр.3)</t>
  </si>
  <si>
    <t>Налоговая база, руб.</t>
  </si>
  <si>
    <t>Ставка налога, %</t>
  </si>
  <si>
    <t>Сумма исчисленного налога, подлежащего уплате, руб.                          (гр. 2 х гр.3/100)</t>
  </si>
  <si>
    <t>Уплата налога на имущество</t>
  </si>
  <si>
    <t>Уплата налога на землю</t>
  </si>
  <si>
    <t>Код вида расходов 852</t>
  </si>
  <si>
    <t xml:space="preserve">Сумма, руб.                          </t>
  </si>
  <si>
    <t>Транспортный налог</t>
  </si>
  <si>
    <t>Х</t>
  </si>
  <si>
    <t>…</t>
  </si>
  <si>
    <t>Код вида расходов 853</t>
  </si>
  <si>
    <t>….</t>
  </si>
  <si>
    <t>Количество номеров</t>
  </si>
  <si>
    <t>Средняя стоимость за единицу в месяц, руб.</t>
  </si>
  <si>
    <t>Телефонная связь</t>
  </si>
  <si>
    <t>Почтовая связь</t>
  </si>
  <si>
    <t>Количество услуг перевозки</t>
  </si>
  <si>
    <t>Размер потребления ресурсов</t>
  </si>
  <si>
    <t>Тариф (с учетом НДС), руб.</t>
  </si>
  <si>
    <t>Количество (кв.м.)</t>
  </si>
  <si>
    <t>Стоимость у учетом НДС, руб.</t>
  </si>
  <si>
    <t>Аренда помещений</t>
  </si>
  <si>
    <t>Количество работ (услуг)</t>
  </si>
  <si>
    <t>Стоимость работ (услуг), руб.</t>
  </si>
  <si>
    <t>Техническое обслуживание и ремонт оргтехники</t>
  </si>
  <si>
    <t>Вывоз ТБО</t>
  </si>
  <si>
    <t>Заправка картриджей</t>
  </si>
  <si>
    <t>Техническое обслуживание транспортных средств</t>
  </si>
  <si>
    <t>Количество договоров</t>
  </si>
  <si>
    <t>Стоимость услуги, руб.</t>
  </si>
  <si>
    <t>Сопровождение программного обеспечения</t>
  </si>
  <si>
    <t>Услуги охраны</t>
  </si>
  <si>
    <t>Периодические издания</t>
  </si>
  <si>
    <t>Количество</t>
  </si>
  <si>
    <t>Средняя стоимость, руб.</t>
  </si>
  <si>
    <t>Объекты основных средств</t>
  </si>
  <si>
    <t xml:space="preserve">Код вида расходов </t>
  </si>
  <si>
    <t>Итого</t>
  </si>
  <si>
    <t>Код вида расходов</t>
  </si>
  <si>
    <t>Стоимость 1 кв.м.</t>
  </si>
  <si>
    <t>Сумма, руб.(гр. 2 х гр. 3)</t>
  </si>
  <si>
    <t>Сумма, руб. (гр. 2 х гр. 3)</t>
  </si>
  <si>
    <t xml:space="preserve">Руководитель учреждения          </t>
  </si>
  <si>
    <t xml:space="preserve">Главный бухгалтер учреждения      </t>
  </si>
  <si>
    <t xml:space="preserve">Исполнитель                         </t>
  </si>
  <si>
    <t>тел.</t>
  </si>
  <si>
    <t>Плата за загрязнение окружающей среды</t>
  </si>
  <si>
    <t>…..</t>
  </si>
  <si>
    <t>Взносы по оплате медицинских осмотров</t>
  </si>
  <si>
    <t>Другие экономические санкции</t>
  </si>
  <si>
    <t>Молоко</t>
  </si>
  <si>
    <t>Численность работников, получающий продукт в натуральной форме</t>
  </si>
  <si>
    <t>Сумма, руб. (гр.2 х гр.3*кол-во месяцев получающих продукт)</t>
  </si>
  <si>
    <t>Услуги и работы в рамках проведения капиатального ремонта</t>
  </si>
  <si>
    <t>Услуги и работы в рамках проведения капитального ремонта</t>
  </si>
  <si>
    <t>Доходы от оказания услуг (выполнения работ)</t>
  </si>
  <si>
    <t>Сумма, руб.</t>
  </si>
  <si>
    <t>Плата (тариф) арендной платы за единицу площади (объект), руб</t>
  </si>
  <si>
    <t>Планируемый объем предоставления имущества в аренду (в натуральных показателях)</t>
  </si>
  <si>
    <t>1.1. Расчет доходов от собственности</t>
  </si>
  <si>
    <t>Недвижимое имущество</t>
  </si>
  <si>
    <t>Субсидии на финансове обеспечение выполнения государственного задания</t>
  </si>
  <si>
    <t xml:space="preserve">Сумма соглашения, руб. </t>
  </si>
  <si>
    <t>Планируемый объем оказания услуг (работ)</t>
  </si>
  <si>
    <t>Плата (тариф) за  единицу услуги (работы), руб.</t>
  </si>
  <si>
    <t>1.2. Расчет доходов от плановых поступлений от оказания услуг (выполнения работ) (в том числе в виде субсидии на финансове обеспечение выполнения государственного задания)</t>
  </si>
  <si>
    <t>Штрафы…</t>
  </si>
  <si>
    <t>1.3. Расчет доходов в виде штрафов, возмещения ущерба</t>
  </si>
  <si>
    <t>1.4. Расчет доходов от безвозмездных денежных поступлений</t>
  </si>
  <si>
    <t>1.6. Расчет доходов от операций с активами</t>
  </si>
  <si>
    <t>Реализация неиспользуемого имущества</t>
  </si>
  <si>
    <t>2.2. Обоснования (расчеты) выплат персоналу (строка 213)</t>
  </si>
  <si>
    <t>1. Обоснования (расчеты) доходов к плану финансово-хозяйственной деятельности (……………….) на 20___ год</t>
  </si>
  <si>
    <t>Плата (тариф) за  единицу, руб.</t>
  </si>
  <si>
    <t xml:space="preserve">Размер прогнозируемых поступлений, руб. </t>
  </si>
  <si>
    <t>Целевые субсидии</t>
  </si>
  <si>
    <t>Заработная плата, руб. (211,266)</t>
  </si>
  <si>
    <t>Сумма, руб. (гр.2 х гр.3х12)</t>
  </si>
  <si>
    <t>1.5. Расчет доходов в виде целевых субсидий</t>
  </si>
  <si>
    <t>2. Обоснования (расчеты) расходов к плану финансово-хозяйственной деятельности (………………...) на 20___ год</t>
  </si>
  <si>
    <t>2.1. Обоснования (расчеты) выплат персоналу (строка 211, 266)</t>
  </si>
  <si>
    <t>II. Поступления и выплаты</t>
  </si>
  <si>
    <t>III. Поступления и выплаты</t>
  </si>
  <si>
    <t>I. Сведения по выплатам на закупки товаров, работ, услуг</t>
  </si>
  <si>
    <t>I. Поступления и выплаты</t>
  </si>
  <si>
    <t>Налог на прибыль</t>
  </si>
  <si>
    <t>Налог на добавленную стоимость</t>
  </si>
  <si>
    <t>Прочие налоги, уменьшающие доход</t>
  </si>
  <si>
    <t>Сумма выплат по расходам на закупку товаров, работ и услуг</t>
  </si>
  <si>
    <t>в соответствии с Федеральным законом от 5 апреля 2013 г. № 44-ФЗ «О контрактной системе в сфере закупок товаров, услуг для обеспечения государственных и муниципальных нужд»</t>
  </si>
  <si>
    <t>в соответствии с Федеральным законом от 18 июля 2011 г. № 223-ФЗ «О закупках товаров, работ, услуг отдельными видами юридических лиц»</t>
  </si>
  <si>
    <t>На оплату контрактов заключенных до начала финансового года</t>
  </si>
  <si>
    <t>Прочие несоциальные выплаты персоналу в натуральной форме</t>
  </si>
  <si>
    <t>На оплату контрактов заключенных по году начало закупки</t>
  </si>
  <si>
    <t>2.3. Обоснования (расчеты) расходов на прочие несоциальные выплату персонала в денежной форме (строка 212)</t>
  </si>
  <si>
    <t>2.5. Обоснования (расчеты) выплат персоналу при использовании личного транспорта для служебных целей (строка 222)</t>
  </si>
  <si>
    <t>2.6. Обоснования (расчеты) выплат персоналу при направлении в служебные командировки (строка 226)</t>
  </si>
  <si>
    <t>2.7. Обоснования (расчеты) выплат персоналу при направлении учащихся организации на мероприятия, и иные платежи (строка 226)</t>
  </si>
  <si>
    <t>2.8. Обоснования (расчеты) выплат персоналу по уходу за ребенком и выплат по временной нетрудоспособности работников (строка 266,267)</t>
  </si>
  <si>
    <t>2.9. Обоснования (расчеты) расходов на социальные и иные выплаты населения (строка 264)</t>
  </si>
  <si>
    <t>2.11. Обоснования (расчеты) расходов на иные выплаты текущего характера физическим лицам (строка 296)</t>
  </si>
  <si>
    <t>340</t>
  </si>
  <si>
    <t>350</t>
  </si>
  <si>
    <t>360</t>
  </si>
  <si>
    <t>2.12. Обоснования (расчеты) расходов на уплату штрафов за нарушение законодательства и иные выплаты, экономические санкции (строка 292,293,295,296,297)</t>
  </si>
  <si>
    <t>2.13 Обоснования (расчеты) расходов по выплатам на закупку товаров, работ, услуг</t>
  </si>
  <si>
    <t>2.13.1. Обоснования (расчеты) расходов на прочие несоциальные выплаты персоналу в натуральной форме (строка 214)</t>
  </si>
  <si>
    <t>2.13.2. Обоснования (расчеты) расходов на оплату услуг связи (строка 221)</t>
  </si>
  <si>
    <t>2.13.3. Обоснования (расчеты) расходов на оплату транспортных услуг (строка 222)</t>
  </si>
  <si>
    <t>2.13.4. Обоснования (расчеты) расходов на оплату коммунальных услуг (строка 223)</t>
  </si>
  <si>
    <t>2.13.5. Обоснования (расчеты) расходов на оплату аренды имущества (строка 224)</t>
  </si>
  <si>
    <t>2.13.6. Обоснования (расчеты) расходов на оплату работ, услуг по содержанию имущества (строка 225)</t>
  </si>
  <si>
    <t>2.13.7. Обоснования (расчеты) расходов на оплату прочих работ, услуг (строка 226)</t>
  </si>
  <si>
    <t>2.13.8. Обоснования (расчеты) расходов на оплату страхования (строка 227)</t>
  </si>
  <si>
    <t>2.13.9. Обоснования (расчеты) расходов на уплату штрафов за нарушение законодательства и иные выплаты текущего характера (строка 296,297)</t>
  </si>
  <si>
    <t>2.13.10. Обоснования (расчеты) расходов на приобретение основных средств  (строки 310)</t>
  </si>
  <si>
    <t>2.13.11. Обоснования (расчеты) расходов на приобретение  материальных запасов (строки 340)</t>
  </si>
  <si>
    <t>2.10. Обоснования (расчеты) расходов на уплату налогов, пошлин и сборов (строка 291)</t>
  </si>
  <si>
    <t>2.4. Обоснования (расчеты) расходов на прочие несоциальные выплату персонала в натуральной форме (строка 214)</t>
  </si>
  <si>
    <t>Количество, единиц</t>
  </si>
  <si>
    <t>Стоимость за единицу, рублей</t>
  </si>
  <si>
    <t>210+290 не в закупках</t>
  </si>
  <si>
    <t>отклонение</t>
  </si>
  <si>
    <t>выплаты всего - отклонение</t>
  </si>
  <si>
    <t>2021 год</t>
  </si>
  <si>
    <t>2022 год</t>
  </si>
  <si>
    <t>Приносящая доход деятельности</t>
  </si>
  <si>
    <t>Приносящая доход деятельность</t>
  </si>
  <si>
    <t>Итого 341</t>
  </si>
  <si>
    <t>Итого 342</t>
  </si>
  <si>
    <t>Итого 343</t>
  </si>
  <si>
    <t>Итого 344</t>
  </si>
  <si>
    <t>Итого 345</t>
  </si>
  <si>
    <t>Итого 346</t>
  </si>
  <si>
    <t>Итого 349</t>
  </si>
  <si>
    <t>Фонд оплаты труда, руб. (211,213,266)</t>
  </si>
  <si>
    <t>Итого 292</t>
  </si>
  <si>
    <t>Итого 293</t>
  </si>
  <si>
    <t>Итого 295</t>
  </si>
  <si>
    <t>Итого 296</t>
  </si>
  <si>
    <t>Итого 297</t>
  </si>
  <si>
    <t>2.13.11. Обоснования (расчеты) расходов на приобретение нематериальных активов  (строки 320)</t>
  </si>
  <si>
    <t>2.13.12. Обоснования (расчеты) расходов на приобретение  материальных запасов (строки 340)</t>
  </si>
  <si>
    <t>ОСТАТОК на начало</t>
  </si>
  <si>
    <t>Контроль</t>
  </si>
  <si>
    <t>1.7. Расчет доходов от прочих поступлений</t>
  </si>
  <si>
    <t>Код вида доходов</t>
  </si>
  <si>
    <t>Обоснования (расчеты) доходов и расходов к плану финансово-хозяйственной деятельности (……………….) на 20___ год</t>
  </si>
  <si>
    <t xml:space="preserve"> Обоснования (расчеты) доходов и расходов к плану финансово-хозяйственной деятельности (за счет приносящей доход деятельности) на 20___ год</t>
  </si>
  <si>
    <t>расходы</t>
  </si>
  <si>
    <t>Доходы</t>
  </si>
  <si>
    <t>1.8. Расчет выплат уменьшающих доход</t>
  </si>
  <si>
    <t>IV. Сведения по выплатам на закупки товаров, работ, услуг</t>
  </si>
  <si>
    <t>V. Сведения по выплатам на закупки товаров, работ, услуг</t>
  </si>
  <si>
    <t>VI. Сведения по выплатам на закупки товаров, работ, услуг</t>
  </si>
  <si>
    <t>VII. Поступления и выплаты</t>
  </si>
  <si>
    <t>VIII. Поступления и выплаты</t>
  </si>
  <si>
    <t>IX. Поступления и выплаты</t>
  </si>
  <si>
    <t>X. Сведения по выплатам на закупки товаров, работ, услуг</t>
  </si>
  <si>
    <t>XI. Сведения по выплатам на закупки товаров, работ, услуг</t>
  </si>
  <si>
    <t>XII. Сведения по выплатам на закупки товаров, работ, услуг</t>
  </si>
  <si>
    <t xml:space="preserve">Сумма по соглашению, руб. </t>
  </si>
  <si>
    <t>Безвозмездные денежные поступления текущего характера</t>
  </si>
  <si>
    <t>Прочие поступления</t>
  </si>
  <si>
    <t>Увеличение остатков денежных средств за счет возмещения средств от фонда социального страхования прошлых лет</t>
  </si>
  <si>
    <t>800Мбит/сек</t>
  </si>
  <si>
    <t>техническое обслуживание системы видеонаблюдения</t>
  </si>
  <si>
    <t>техническое обслуживание котельной</t>
  </si>
  <si>
    <t>техническое обслуживание системы кондиционирования</t>
  </si>
  <si>
    <t>дератизация</t>
  </si>
  <si>
    <t>техническое обслуживание пожарной сигнаизации</t>
  </si>
  <si>
    <t>техническое обслуживание газоиспользующего оборудования</t>
  </si>
  <si>
    <t>техническое обслуживание "Стрелец"</t>
  </si>
  <si>
    <t>техническое обслуживание ГРЩ</t>
  </si>
  <si>
    <t>техническое обслуживание системы автоматического пожаротушения</t>
  </si>
  <si>
    <t>Ежедневный предрейсовый технический осмотр автомобиля</t>
  </si>
  <si>
    <t>техническое обслуживание поломойно-всасывающей машины</t>
  </si>
  <si>
    <t>уборка прилегающей территории</t>
  </si>
  <si>
    <t>уход за зелеными насаждениями</t>
  </si>
  <si>
    <t>испытание средств защиты</t>
  </si>
  <si>
    <t>услуги по мытью наружных и внутренних окон и витражей</t>
  </si>
  <si>
    <t>ремонт оборудования</t>
  </si>
  <si>
    <t>техничское обслуживание ИБП</t>
  </si>
  <si>
    <t>ктс</t>
  </si>
  <si>
    <t>украшение залов композициями из живых цветов</t>
  </si>
  <si>
    <t>ежедневный предрейсовый медицинский осмотр водителя</t>
  </si>
  <si>
    <t>обучение</t>
  </si>
  <si>
    <t>гсм</t>
  </si>
  <si>
    <t>строительные материалы</t>
  </si>
  <si>
    <t>форменная одежда</t>
  </si>
  <si>
    <t>спецодежда</t>
  </si>
  <si>
    <t>мягкий инвентарь</t>
  </si>
  <si>
    <t>канцелярские товары</t>
  </si>
  <si>
    <t>хозяйственные товары</t>
  </si>
  <si>
    <t>изготовление полиграфической продукции</t>
  </si>
  <si>
    <t>печать сборников</t>
  </si>
  <si>
    <t>комплектующие и запасные части для оборудования</t>
  </si>
  <si>
    <t>Директор</t>
  </si>
  <si>
    <t>Заместитель директора - заведующий общим отделом</t>
  </si>
  <si>
    <t>Заместитель директора - заведующий отделом научно-просветительной, образовательной и экскурсионной деятельности</t>
  </si>
  <si>
    <t>Главный бухгалтер</t>
  </si>
  <si>
    <t>Главный юрисконсульт</t>
  </si>
  <si>
    <t>Ведущий специалист по связям с общественностью</t>
  </si>
  <si>
    <t>Итого:</t>
  </si>
  <si>
    <t>Отдел бухгалтерского учета и отчетности</t>
  </si>
  <si>
    <t>Заместитель главного бухгалтера</t>
  </si>
  <si>
    <t>Общий отдел</t>
  </si>
  <si>
    <t>Старший администратор</t>
  </si>
  <si>
    <t>Музейный смотритель</t>
  </si>
  <si>
    <t>Отдел научно-просветительной, образовательной и экскурсионной деятельности</t>
  </si>
  <si>
    <t>Методист по научно-просветительной и образовательной деятельности</t>
  </si>
  <si>
    <t>Научный сотрудник</t>
  </si>
  <si>
    <t>Организатор экскурсий</t>
  </si>
  <si>
    <t>Экскурсовод</t>
  </si>
  <si>
    <t>Отдел информатизации и мультимедийного обеспечения</t>
  </si>
  <si>
    <t>Инженер по свету и звуку</t>
  </si>
  <si>
    <t>Системный администратор</t>
  </si>
  <si>
    <t>Хозяйственно-технический отдел</t>
  </si>
  <si>
    <t>Слесарь-сантехник</t>
  </si>
  <si>
    <t>Уборщик служебных помещений</t>
  </si>
  <si>
    <t>Рабочий по обслуживанию и текущему ремонту здания</t>
  </si>
  <si>
    <t>Водитель</t>
  </si>
  <si>
    <t>ВСЕГО:</t>
  </si>
  <si>
    <t>Кассир</t>
  </si>
  <si>
    <t>Методист по научно-просветительной деятельности</t>
  </si>
  <si>
    <t>Графический дизайнер</t>
  </si>
  <si>
    <t>Специалист по охране труда</t>
  </si>
  <si>
    <t>Слесарь-электрик по ремонту электрооборудования</t>
  </si>
  <si>
    <t>Начальник хозяйственно-технического отдела</t>
  </si>
  <si>
    <t xml:space="preserve">Главный инженер </t>
  </si>
  <si>
    <t>Делопроизводитель</t>
  </si>
  <si>
    <t>Главный специалист по персоналу</t>
  </si>
  <si>
    <t>Обоснования (расчеты) доходов и расходов к плану финансово-хозяйственной деятельности (за счет субсидии на выполнение государственного задания) на 2022 год</t>
  </si>
  <si>
    <t>1. Обоснования (расчеты) доходов к плану финансово-хозяйственной деятельности (за счет субсидии на выполнение государственного задания) на 2022 год</t>
  </si>
  <si>
    <t>2. Обоснования (расчеты) расходов к плану финансово-хозяйственной деятельности (за счет субсидии на выполнение государственного задания) на 2022 год</t>
  </si>
  <si>
    <t>итого</t>
  </si>
  <si>
    <t>Услуги, работы для целей капитальных вложений</t>
  </si>
  <si>
    <t>Увеличение стоимости материальных запасов для целей капитальных вложений</t>
  </si>
  <si>
    <t>Канцелярские товары</t>
  </si>
  <si>
    <t>техническое обслуживание фонтана</t>
  </si>
  <si>
    <t>техническое обслуживание системы автополива</t>
  </si>
  <si>
    <t>Приобретение программного обеспечения</t>
  </si>
  <si>
    <t>обработка архива</t>
  </si>
  <si>
    <t>ИТС билетно-пропускной системы "Лента"</t>
  </si>
  <si>
    <t>Ведущий юрисконсульт</t>
  </si>
  <si>
    <t>Ведущий бухгалтер</t>
  </si>
  <si>
    <t>Филиал</t>
  </si>
  <si>
    <t>Заведующий филиалом</t>
  </si>
  <si>
    <t>Заведующий отделом</t>
  </si>
  <si>
    <t>Ведущий экономист</t>
  </si>
  <si>
    <t>Отдел правовой и кадровой работы</t>
  </si>
  <si>
    <t>Ведущий специалист по персоналу</t>
  </si>
  <si>
    <t>Методист по образовательной деятельности</t>
  </si>
  <si>
    <t>Специалист по экспозиционной и выставочной деятельности</t>
  </si>
  <si>
    <t>Фотограф</t>
  </si>
  <si>
    <t>ВСЕГО ФИЛИАЛ:</t>
  </si>
  <si>
    <t>Итого по учреждению:</t>
  </si>
  <si>
    <t>Администратор стойки информации</t>
  </si>
  <si>
    <t>Штрафы за ненадлежащее исполнение контракта</t>
  </si>
  <si>
    <t>Приобретение основных средств для осуществления основных видов деятельности музеев</t>
  </si>
  <si>
    <t>Итого 347</t>
  </si>
  <si>
    <t>111, 119</t>
  </si>
  <si>
    <t>Телефонная связь г. Ставрополь</t>
  </si>
  <si>
    <t>Телефонная связь г. Пятигорск</t>
  </si>
  <si>
    <t>Интернет г. Ставрополь</t>
  </si>
  <si>
    <t>Интернет г. Пятигорск</t>
  </si>
  <si>
    <t>Оплата потребления электрической энергии г. Ставрополь</t>
  </si>
  <si>
    <t>Оплата потребления электрической энергии г. Пятигорск</t>
  </si>
  <si>
    <t>2 624 476,68645квт/ч</t>
  </si>
  <si>
    <t>Оплата водоснабжения и водоотведения помещений г. Ставрополь</t>
  </si>
  <si>
    <t>Оплата водоснабжения и водоотведения помещений г. Пятигорск</t>
  </si>
  <si>
    <t>Оплата твердых коммунальных отходов г. Ставрополь</t>
  </si>
  <si>
    <t>Оплата твердых коммунальных отходов г. Пятигорск</t>
  </si>
  <si>
    <t>г. Ставрополь</t>
  </si>
  <si>
    <t>г. Пятигорск</t>
  </si>
  <si>
    <t>техническое обслуживание КНС</t>
  </si>
  <si>
    <t>техническое обслуживание видеопроекторов</t>
  </si>
  <si>
    <t>услуги по уборка туалета-лектория</t>
  </si>
  <si>
    <t>получение выписок из ЕГРН</t>
  </si>
  <si>
    <t>Монтаж/демонтаж новогодних украшений</t>
  </si>
  <si>
    <t>бланки строгой отчетности (билеты)</t>
  </si>
  <si>
    <t>2023 г.</t>
  </si>
  <si>
    <t>Оплата потребления газа г. Ставрополь</t>
  </si>
  <si>
    <t>Оплата потребления газа г. Пятигорск</t>
  </si>
  <si>
    <t>150,31039м3</t>
  </si>
  <si>
    <t>2 624 510,3333квт/ч</t>
  </si>
  <si>
    <t>2 345,9723м3</t>
  </si>
  <si>
    <t>148,04847м3</t>
  </si>
  <si>
    <t>1. Обоснования (расчеты) доходов к плану финансово-хозяйственной деятельности (за счет субсидии на выполнение государственного задания) на 2023 год</t>
  </si>
  <si>
    <t>2. Обоснования (расчеты) расходов к плану финансово-хозяйственной деятельности (за счет субсидии на выполнение государственного задания) на 2023 год</t>
  </si>
  <si>
    <t xml:space="preserve">Техническое обслуживание котельной </t>
  </si>
  <si>
    <t>Техническое обслуживание автоматической охранной сигнализации, СКУД и пожарно-охранной сигнализации котельной</t>
  </si>
  <si>
    <t>Техническое ослуживание систем автоматической пожарной сигнализации, оповещения о пожаре, дымоудаления</t>
  </si>
  <si>
    <t>Техническое обслуживание системы автоматического водяного пожаротушения</t>
  </si>
  <si>
    <t>Техническое обслуживание системы видеонаблюдения</t>
  </si>
  <si>
    <t>Техническое обслуживание системы вентиляции и кондиционирования</t>
  </si>
  <si>
    <t>Техническое обслуживание ГРЩ</t>
  </si>
  <si>
    <t>Техническое обслуживание ВДПО "Стрелец"</t>
  </si>
  <si>
    <t>Техническое обслуживание ПУРГ</t>
  </si>
  <si>
    <t>Дератизация</t>
  </si>
  <si>
    <t>уход за газонами и зелеными насаждениями</t>
  </si>
  <si>
    <t>мойка фасада здания</t>
  </si>
  <si>
    <t>ТО устройств мультимедиа</t>
  </si>
  <si>
    <t>Испытание средств защиты</t>
  </si>
  <si>
    <t>доступ к системе Эконом-эксперт</t>
  </si>
  <si>
    <t>Спецоценка условий труда</t>
  </si>
  <si>
    <t>Кнопка тревожной сигнализации (ТО)</t>
  </si>
  <si>
    <t>Монтаж / демонтаж новогодних украшений</t>
  </si>
  <si>
    <t>721,593985м3</t>
  </si>
  <si>
    <t>Товары для творчества</t>
  </si>
  <si>
    <t xml:space="preserve">Полиграфическая продукция </t>
  </si>
  <si>
    <t>Таблички для конференций на стол</t>
  </si>
  <si>
    <t>Баннеры (внутренни и фасадные)</t>
  </si>
  <si>
    <t>Визитки</t>
  </si>
  <si>
    <t>Дезсредства</t>
  </si>
  <si>
    <t>Почтовая связь г. Пятигорск</t>
  </si>
  <si>
    <t>355252,3161м3</t>
  </si>
  <si>
    <t>9284,564653квт/ч</t>
  </si>
  <si>
    <t>61917,73149м3</t>
  </si>
  <si>
    <t>Почтовая связь г. Ставрополь</t>
  </si>
  <si>
    <t>Оплата потребления газа г.Ставрополь</t>
  </si>
  <si>
    <t>Оплата потребления газа г.Пятигорск</t>
  </si>
  <si>
    <t>Техническое обслуживание поломоечной машины</t>
  </si>
  <si>
    <t>Техническое обслуживание интерактивного светодиодного пола</t>
  </si>
  <si>
    <t>Техническое обслуживание устройств мультимедиа</t>
  </si>
  <si>
    <t>Хозяйственные товары</t>
  </si>
  <si>
    <t>Техническое обслуживание проекторов</t>
  </si>
  <si>
    <t>Приобретение программного обеспечения (Антивирус Касперский, Photoshop, Illustrator, InDesign, Premiere Pro и Acrobat)</t>
  </si>
  <si>
    <t>244, 247</t>
  </si>
  <si>
    <t>Баннеры (внутренние и фасадные)</t>
  </si>
  <si>
    <t>Первый заместитель директора - заведующий отделом информатизации и мультимедийного обеспечения</t>
  </si>
  <si>
    <t>355,0684932м3</t>
  </si>
  <si>
    <t>Пособия по социальной помощи, выплачиваемые работодателями, нанимателями бывшим работникам в натуральной форме</t>
  </si>
  <si>
    <t>Иные коммунальные  услуги</t>
  </si>
  <si>
    <t>мойка и чистка (химчистка) автомобиля Skoda Oktavia</t>
  </si>
  <si>
    <t>Мероприятия по сохранению и развитию культуры</t>
  </si>
  <si>
    <t>аптечка первой медецинской помощи</t>
  </si>
  <si>
    <t>Приобретение программного обеспечения (Антивирус Касперский, КриптоПро)</t>
  </si>
  <si>
    <t>Сопровождение электронного периодического справочника "Система ГАРАНТ"</t>
  </si>
  <si>
    <t>ИТС программа 1С</t>
  </si>
  <si>
    <t>Доступ к системе Эконом-эксперт</t>
  </si>
  <si>
    <t>Обучение</t>
  </si>
  <si>
    <t>Обработка архива</t>
  </si>
  <si>
    <t>Ежедневный предрейсовый медицинский осмотр водителя</t>
  </si>
  <si>
    <t>Доходы от оказания услуг, работ, компенсации затрат учреждений, всего</t>
  </si>
  <si>
    <t>Субсидия на финансово обеспечение  выполнения государственного задания</t>
  </si>
  <si>
    <t>Доход от возмещения затрат на мероприятия по сокращению производственного травматизма</t>
  </si>
  <si>
    <t>(за счет субсидии на выполнение государственного задания) на  2022  год</t>
  </si>
  <si>
    <t>(за счет субсидии на выполнение государственного задания) на 2022 год</t>
  </si>
  <si>
    <t>(за счет приносящей доход деятельности) на 2022 год</t>
  </si>
  <si>
    <t>(за счет целевых субсидий) на 2022 год</t>
  </si>
  <si>
    <t>(за счет субсидии на выполнение государственного задания) на плановый период 2023 и 2024 годов</t>
  </si>
  <si>
    <t>2024 г.</t>
  </si>
  <si>
    <t>213,498579м3</t>
  </si>
  <si>
    <t>11835,4177квт/ч</t>
  </si>
  <si>
    <t>167,429475м3</t>
  </si>
  <si>
    <t>техническле обслуживание светодиодных светильников, проектор и принтеров</t>
  </si>
  <si>
    <t>техническое обслуживание системы электроснабжения</t>
  </si>
  <si>
    <t>Специалист по закупкам</t>
  </si>
  <si>
    <t>Секретарь</t>
  </si>
  <si>
    <t xml:space="preserve"> Обоснования (расчеты) доходов и расходов к плану финансово-хозяйственной деятельности (за счет приносящей доход деятельности) на 2022 год</t>
  </si>
  <si>
    <t>1. Обоснования (расчеты) доходов к плану финансово-хозяйственной деятельности (за счет приносящей доход деятельности) на 2022 год</t>
  </si>
  <si>
    <t>2. Обоснования (расчеты) расходов к плану финансово-хозяйственной деятельности (за счет приносящей доход деятельности) на 2022 год</t>
  </si>
  <si>
    <t>Обоснования (расчеты) доходов и расходов к плану финансово-хозяйственной деятельности (за счет субсидии на выполнение государственного задания) на 2023 год</t>
  </si>
  <si>
    <t>Обоснования (расчеты) доходов и расходов к плану финансово-хозяйственной деятельности (за счет субсидии на выполнение государственного задания) на 2024 год</t>
  </si>
  <si>
    <t>1. Обоснования (расчеты) доходов к плану финансово-хозяйственной деятельности (за счет субсидии на выполнение государственного задания) на 2024 год</t>
  </si>
  <si>
    <t>2. Обоснования (расчеты) расходов к плану финансово-хозяйственной деятельности (за счет субсидии на выполнение государственного задания) на 2024 год</t>
  </si>
  <si>
    <t>Госпошлина</t>
  </si>
  <si>
    <t>Доходы от оказания услуг, работ, компенсации затрат учреждения, всего</t>
  </si>
  <si>
    <t>Доход от возмещения затрат на мероприятия по сокращению производственного травмазизма</t>
  </si>
  <si>
    <t>Главный энергетик</t>
  </si>
  <si>
    <t>Специалист по административно-хозяйственному обеспечению</t>
  </si>
  <si>
    <t>Заместитель заведующего</t>
  </si>
  <si>
    <t xml:space="preserve"> Обоснования (расчеты) доходов и расходов к плану финансово-хозяйственной деятельности (за счет целевых субсидий) на 2022 год</t>
  </si>
  <si>
    <t>1. Обоснования (расчеты) доходов к плану финансово-хозяйственной деятельности (за счет целевых субсидий) на 2022 год</t>
  </si>
  <si>
    <t>2. Обоснования (расчеты) расходов к плану финансово-хозяйственной деятельности (за счет целевых субсидий) на 2022 год</t>
  </si>
  <si>
    <t>Услуги по экспресс доставке</t>
  </si>
  <si>
    <t>10000,00м3</t>
  </si>
  <si>
    <t>11490,6077м3</t>
  </si>
  <si>
    <t>техническое обслуживание пожарной сигналтзации и системы оповещения и управления эвакуацией</t>
  </si>
  <si>
    <t>Техническое обслуживание ПУГ</t>
  </si>
  <si>
    <t>техническое обслуживание ИБП</t>
  </si>
  <si>
    <t>Техническое обслуживание автоматической охранной сигнализации и пожарно-охранной сигнализации котельной</t>
  </si>
  <si>
    <t>поверка гозового счетчика</t>
  </si>
  <si>
    <t>утилизация оборудования</t>
  </si>
  <si>
    <t>ремонт системы холоснабжения</t>
  </si>
  <si>
    <t>Услуги по организации и проведению уличного фестиваля «Ставрополь 245: твоя история»</t>
  </si>
  <si>
    <t>1</t>
  </si>
  <si>
    <t>сувенирная продукция</t>
  </si>
  <si>
    <t>300</t>
  </si>
  <si>
    <t>Г.П. Головин</t>
  </si>
  <si>
    <t>Л.С. Степанкова</t>
  </si>
  <si>
    <t>Пособия по социальной помощи населению в натуральной форме</t>
  </si>
  <si>
    <t>2.9. Обоснования (расчеты) расходов на социальные и иные выплаты населения (строка 263, 264,265)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</si>
</sst>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2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8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right" vertical="center"/>
    </xf>
    <xf numFmtId="0" fontId="0" fillId="0" borderId="0" xfId="0" applyFill="1"/>
    <xf numFmtId="0" fontId="8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 applyAlignment="1">
      <alignment horizontal="justify" vertical="center"/>
    </xf>
    <xf numFmtId="0" fontId="3" fillId="0" borderId="2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0" fillId="0" borderId="0" xfId="0" applyFill="1" applyBorder="1"/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justify" vertical="center"/>
    </xf>
    <xf numFmtId="0" fontId="3" fillId="0" borderId="12" xfId="0" applyFont="1" applyFill="1" applyBorder="1" applyAlignment="1">
      <alignment horizontal="justify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center" vertical="center"/>
    </xf>
    <xf numFmtId="4" fontId="3" fillId="0" borderId="7" xfId="0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right" vertical="center" wrapText="1"/>
    </xf>
    <xf numFmtId="4" fontId="3" fillId="0" borderId="9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horizontal="right" vertical="center" wrapText="1"/>
    </xf>
    <xf numFmtId="4" fontId="3" fillId="0" borderId="19" xfId="0" applyNumberFormat="1" applyFont="1" applyFill="1" applyBorder="1" applyAlignment="1">
      <alignment horizontal="right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0" fillId="0" borderId="0" xfId="0" applyNumberFormat="1" applyFill="1"/>
    <xf numFmtId="49" fontId="3" fillId="0" borderId="0" xfId="0" applyNumberFormat="1" applyFont="1" applyFill="1" applyAlignment="1"/>
    <xf numFmtId="49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6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4" fontId="3" fillId="3" borderId="2" xfId="0" applyNumberFormat="1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4" fontId="0" fillId="0" borderId="0" xfId="0" applyNumberFormat="1" applyAlignment="1">
      <alignment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justify" vertical="center" wrapText="1"/>
    </xf>
    <xf numFmtId="4" fontId="0" fillId="4" borderId="0" xfId="0" applyNumberFormat="1" applyFill="1"/>
    <xf numFmtId="0" fontId="9" fillId="0" borderId="0" xfId="0" applyFont="1" applyFill="1" applyAlignment="1">
      <alignment horizontal="center"/>
    </xf>
    <xf numFmtId="4" fontId="3" fillId="0" borderId="0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vertical="center" wrapText="1"/>
    </xf>
    <xf numFmtId="4" fontId="3" fillId="0" borderId="19" xfId="0" applyNumberFormat="1" applyFont="1" applyFill="1" applyBorder="1" applyAlignment="1">
      <alignment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4" fontId="3" fillId="0" borderId="4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4" fontId="3" fillId="0" borderId="3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7" fillId="0" borderId="1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7" fillId="0" borderId="36" xfId="0" applyFont="1" applyBorder="1" applyAlignment="1">
      <alignment vertical="top" wrapText="1"/>
    </xf>
    <xf numFmtId="0" fontId="7" fillId="0" borderId="36" xfId="0" applyFont="1" applyBorder="1" applyAlignment="1">
      <alignment horizontal="center" wrapText="1"/>
    </xf>
    <xf numFmtId="4" fontId="7" fillId="0" borderId="28" xfId="0" applyNumberFormat="1" applyFont="1" applyBorder="1" applyAlignment="1">
      <alignment horizontal="center" wrapText="1"/>
    </xf>
    <xf numFmtId="4" fontId="7" fillId="0" borderId="2" xfId="0" applyNumberFormat="1" applyFont="1" applyBorder="1" applyAlignment="1">
      <alignment horizontal="center"/>
    </xf>
    <xf numFmtId="4" fontId="7" fillId="0" borderId="10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0" fontId="7" fillId="0" borderId="37" xfId="0" applyFont="1" applyBorder="1" applyAlignment="1">
      <alignment vertical="top" wrapText="1"/>
    </xf>
    <xf numFmtId="0" fontId="7" fillId="0" borderId="37" xfId="0" applyFont="1" applyBorder="1" applyAlignment="1">
      <alignment horizontal="center" wrapText="1"/>
    </xf>
    <xf numFmtId="4" fontId="7" fillId="0" borderId="11" xfId="0" applyNumberFormat="1" applyFont="1" applyBorder="1" applyAlignment="1">
      <alignment horizontal="center" wrapText="1"/>
    </xf>
    <xf numFmtId="0" fontId="7" fillId="0" borderId="37" xfId="0" applyFont="1" applyFill="1" applyBorder="1" applyAlignment="1">
      <alignment vertical="top" wrapText="1"/>
    </xf>
    <xf numFmtId="49" fontId="7" fillId="0" borderId="37" xfId="0" applyNumberFormat="1" applyFont="1" applyBorder="1" applyAlignment="1">
      <alignment horizontal="left" wrapText="1"/>
    </xf>
    <xf numFmtId="0" fontId="7" fillId="0" borderId="37" xfId="0" applyFont="1" applyBorder="1" applyAlignment="1">
      <alignment horizontal="center"/>
    </xf>
    <xf numFmtId="4" fontId="7" fillId="0" borderId="11" xfId="0" applyNumberFormat="1" applyFont="1" applyBorder="1" applyAlignment="1">
      <alignment horizontal="center"/>
    </xf>
    <xf numFmtId="49" fontId="10" fillId="0" borderId="37" xfId="0" applyNumberFormat="1" applyFont="1" applyBorder="1"/>
    <xf numFmtId="0" fontId="10" fillId="0" borderId="37" xfId="0" applyFont="1" applyBorder="1" applyAlignment="1">
      <alignment horizontal="center"/>
    </xf>
    <xf numFmtId="4" fontId="10" fillId="0" borderId="37" xfId="0" applyNumberFormat="1" applyFont="1" applyBorder="1" applyAlignment="1">
      <alignment horizontal="center"/>
    </xf>
    <xf numFmtId="4" fontId="10" fillId="0" borderId="26" xfId="0" applyNumberFormat="1" applyFont="1" applyBorder="1" applyAlignment="1">
      <alignment horizontal="center"/>
    </xf>
    <xf numFmtId="0" fontId="7" fillId="0" borderId="37" xfId="0" applyFont="1" applyBorder="1" applyAlignment="1">
      <alignment wrapText="1"/>
    </xf>
    <xf numFmtId="4" fontId="10" fillId="0" borderId="11" xfId="0" applyNumberFormat="1" applyFont="1" applyBorder="1" applyAlignment="1">
      <alignment horizontal="center"/>
    </xf>
    <xf numFmtId="4" fontId="10" fillId="0" borderId="2" xfId="0" applyNumberFormat="1" applyFont="1" applyBorder="1" applyAlignment="1">
      <alignment horizontal="center"/>
    </xf>
    <xf numFmtId="4" fontId="10" fillId="0" borderId="10" xfId="0" applyNumberFormat="1" applyFont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0" fontId="7" fillId="0" borderId="38" xfId="0" applyFont="1" applyBorder="1" applyAlignment="1">
      <alignment wrapText="1"/>
    </xf>
    <xf numFmtId="0" fontId="7" fillId="0" borderId="38" xfId="0" applyFont="1" applyBorder="1" applyAlignment="1">
      <alignment horizontal="center" wrapText="1"/>
    </xf>
    <xf numFmtId="4" fontId="7" fillId="0" borderId="27" xfId="0" applyNumberFormat="1" applyFont="1" applyBorder="1" applyAlignment="1">
      <alignment horizontal="center" wrapText="1"/>
    </xf>
    <xf numFmtId="49" fontId="10" fillId="0" borderId="39" xfId="0" applyNumberFormat="1" applyFont="1" applyBorder="1"/>
    <xf numFmtId="0" fontId="10" fillId="0" borderId="38" xfId="0" applyFont="1" applyBorder="1" applyAlignment="1">
      <alignment horizontal="center"/>
    </xf>
    <xf numFmtId="4" fontId="10" fillId="0" borderId="27" xfId="0" applyNumberFormat="1" applyFont="1" applyBorder="1" applyAlignment="1">
      <alignment horizontal="center"/>
    </xf>
    <xf numFmtId="4" fontId="10" fillId="0" borderId="12" xfId="0" applyNumberFormat="1" applyFont="1" applyBorder="1" applyAlignment="1">
      <alignment horizontal="center"/>
    </xf>
    <xf numFmtId="4" fontId="10" fillId="0" borderId="38" xfId="0" applyNumberFormat="1" applyFont="1" applyBorder="1" applyAlignment="1">
      <alignment horizontal="center"/>
    </xf>
    <xf numFmtId="49" fontId="10" fillId="0" borderId="40" xfId="0" applyNumberFormat="1" applyFont="1" applyBorder="1"/>
    <xf numFmtId="0" fontId="10" fillId="0" borderId="40" xfId="0" applyFont="1" applyBorder="1" applyAlignment="1">
      <alignment horizontal="center"/>
    </xf>
    <xf numFmtId="4" fontId="10" fillId="0" borderId="41" xfId="0" applyNumberFormat="1" applyFont="1" applyBorder="1" applyAlignment="1">
      <alignment horizontal="center"/>
    </xf>
    <xf numFmtId="4" fontId="10" fillId="0" borderId="40" xfId="0" applyNumberFormat="1" applyFont="1" applyBorder="1" applyAlignment="1">
      <alignment horizontal="center"/>
    </xf>
    <xf numFmtId="0" fontId="7" fillId="0" borderId="2" xfId="0" applyFont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10" fillId="0" borderId="0" xfId="0" applyNumberFormat="1" applyFont="1" applyBorder="1"/>
    <xf numFmtId="0" fontId="10" fillId="0" borderId="0" xfId="0" applyFont="1" applyBorder="1" applyAlignment="1">
      <alignment horizontal="center"/>
    </xf>
    <xf numFmtId="4" fontId="10" fillId="0" borderId="0" xfId="0" applyNumberFormat="1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37" xfId="0" applyFont="1" applyBorder="1" applyAlignment="1">
      <alignment vertical="top" wrapText="1"/>
    </xf>
    <xf numFmtId="0" fontId="10" fillId="0" borderId="37" xfId="0" applyFont="1" applyBorder="1" applyAlignment="1">
      <alignment horizontal="center" wrapText="1"/>
    </xf>
    <xf numFmtId="4" fontId="10" fillId="0" borderId="28" xfId="0" applyNumberFormat="1" applyFont="1" applyBorder="1" applyAlignment="1">
      <alignment horizontal="center" wrapText="1"/>
    </xf>
    <xf numFmtId="4" fontId="10" fillId="0" borderId="11" xfId="0" applyNumberFormat="1" applyFont="1" applyBorder="1" applyAlignment="1">
      <alignment horizontal="center" wrapText="1"/>
    </xf>
    <xf numFmtId="4" fontId="10" fillId="0" borderId="36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8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" fontId="11" fillId="0" borderId="18" xfId="0" applyNumberFormat="1" applyFont="1" applyFill="1" applyBorder="1" applyAlignment="1">
      <alignment horizontal="right" vertical="center" wrapText="1"/>
    </xf>
    <xf numFmtId="4" fontId="11" fillId="0" borderId="2" xfId="0" applyNumberFormat="1" applyFont="1" applyFill="1" applyBorder="1" applyAlignment="1">
      <alignment horizontal="right" vertical="center" wrapText="1"/>
    </xf>
    <xf numFmtId="4" fontId="11" fillId="0" borderId="2" xfId="0" applyNumberFormat="1" applyFont="1" applyFill="1" applyBorder="1" applyAlignment="1">
      <alignment vertical="center" wrapText="1"/>
    </xf>
    <xf numFmtId="4" fontId="11" fillId="0" borderId="9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8" fillId="2" borderId="2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8" fillId="0" borderId="26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7" fillId="0" borderId="24" xfId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4" fontId="11" fillId="0" borderId="10" xfId="0" applyNumberFormat="1" applyFont="1" applyFill="1" applyBorder="1" applyAlignment="1">
      <alignment horizontal="center"/>
    </xf>
    <xf numFmtId="4" fontId="11" fillId="0" borderId="11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horizontal="center" vertical="center" wrapText="1"/>
    </xf>
    <xf numFmtId="3" fontId="3" fillId="0" borderId="10" xfId="0" applyNumberFormat="1" applyFont="1" applyFill="1" applyBorder="1" applyAlignment="1">
      <alignment horizontal="center"/>
    </xf>
    <xf numFmtId="3" fontId="3" fillId="0" borderId="11" xfId="0" applyNumberFormat="1" applyFont="1" applyFill="1" applyBorder="1" applyAlignment="1">
      <alignment horizontal="center"/>
    </xf>
    <xf numFmtId="164" fontId="3" fillId="0" borderId="10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/>
    </xf>
    <xf numFmtId="4" fontId="3" fillId="0" borderId="13" xfId="0" applyNumberFormat="1" applyFont="1" applyFill="1" applyBorder="1" applyAlignment="1">
      <alignment horizontal="center"/>
    </xf>
    <xf numFmtId="4" fontId="3" fillId="0" borderId="11" xfId="0" applyNumberFormat="1" applyFont="1" applyFill="1" applyBorder="1" applyAlignment="1">
      <alignment horizontal="center"/>
    </xf>
    <xf numFmtId="49" fontId="10" fillId="0" borderId="26" xfId="0" applyNumberFormat="1" applyFont="1" applyBorder="1" applyAlignment="1">
      <alignment horizontal="center" wrapText="1"/>
    </xf>
    <xf numFmtId="49" fontId="10" fillId="0" borderId="13" xfId="0" applyNumberFormat="1" applyFont="1" applyBorder="1" applyAlignment="1">
      <alignment horizontal="center" wrapText="1"/>
    </xf>
    <xf numFmtId="49" fontId="10" fillId="0" borderId="25" xfId="0" applyNumberFormat="1" applyFont="1" applyBorder="1" applyAlignment="1">
      <alignment horizontal="center" wrapText="1"/>
    </xf>
    <xf numFmtId="49" fontId="10" fillId="0" borderId="26" xfId="0" applyNumberFormat="1" applyFont="1" applyFill="1" applyBorder="1" applyAlignment="1">
      <alignment horizontal="center" wrapText="1"/>
    </xf>
    <xf numFmtId="49" fontId="10" fillId="0" borderId="13" xfId="0" applyNumberFormat="1" applyFont="1" applyFill="1" applyBorder="1" applyAlignment="1">
      <alignment horizontal="center" wrapText="1"/>
    </xf>
    <xf numFmtId="49" fontId="10" fillId="0" borderId="25" xfId="0" applyNumberFormat="1" applyFont="1" applyFill="1" applyBorder="1" applyAlignment="1">
      <alignment horizontal="center" wrapText="1"/>
    </xf>
    <xf numFmtId="0" fontId="8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" fontId="3" fillId="0" borderId="30" xfId="0" applyNumberFormat="1" applyFont="1" applyFill="1" applyBorder="1" applyAlignment="1">
      <alignment horizontal="center" vertical="center" wrapText="1"/>
    </xf>
    <xf numFmtId="4" fontId="3" fillId="0" borderId="27" xfId="0" applyNumberFormat="1" applyFont="1" applyFill="1" applyBorder="1" applyAlignment="1">
      <alignment horizontal="center" vertical="center" wrapText="1"/>
    </xf>
    <xf numFmtId="4" fontId="3" fillId="0" borderId="31" xfId="0" applyNumberFormat="1" applyFont="1" applyFill="1" applyBorder="1" applyAlignment="1">
      <alignment horizontal="center" vertical="center" wrapText="1"/>
    </xf>
    <xf numFmtId="4" fontId="3" fillId="0" borderId="28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0" fillId="0" borderId="26" xfId="0" applyNumberFormat="1" applyFont="1" applyBorder="1" applyAlignment="1">
      <alignment horizontal="center"/>
    </xf>
    <xf numFmtId="49" fontId="10" fillId="0" borderId="13" xfId="0" applyNumberFormat="1" applyFont="1" applyBorder="1" applyAlignment="1">
      <alignment horizontal="center"/>
    </xf>
    <xf numFmtId="49" fontId="10" fillId="0" borderId="25" xfId="0" applyNumberFormat="1" applyFont="1" applyBorder="1" applyAlignment="1">
      <alignment horizontal="center"/>
    </xf>
    <xf numFmtId="0" fontId="10" fillId="0" borderId="26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49" fontId="10" fillId="0" borderId="42" xfId="0" applyNumberFormat="1" applyFont="1" applyBorder="1" applyAlignment="1">
      <alignment horizontal="center" wrapText="1"/>
    </xf>
    <xf numFmtId="49" fontId="10" fillId="0" borderId="43" xfId="0" applyNumberFormat="1" applyFont="1" applyBorder="1" applyAlignment="1">
      <alignment horizontal="center" wrapText="1"/>
    </xf>
    <xf numFmtId="49" fontId="10" fillId="0" borderId="44" xfId="0" applyNumberFormat="1" applyFont="1" applyBorder="1" applyAlignment="1">
      <alignment horizontal="center" wrapText="1"/>
    </xf>
    <xf numFmtId="4" fontId="3" fillId="0" borderId="10" xfId="0" applyNumberFormat="1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4" fontId="3" fillId="5" borderId="10" xfId="0" applyNumberFormat="1" applyFont="1" applyFill="1" applyBorder="1" applyAlignment="1">
      <alignment horizontal="center" vertical="center" wrapText="1"/>
    </xf>
    <xf numFmtId="4" fontId="3" fillId="5" borderId="11" xfId="0" applyNumberFormat="1" applyFont="1" applyFill="1" applyBorder="1" applyAlignment="1">
      <alignment horizontal="center" vertical="center" wrapText="1"/>
    </xf>
    <xf numFmtId="4" fontId="3" fillId="0" borderId="45" xfId="0" applyNumberFormat="1" applyFont="1" applyFill="1" applyBorder="1" applyAlignment="1">
      <alignment horizontal="center" vertical="center" wrapText="1"/>
    </xf>
    <xf numFmtId="4" fontId="3" fillId="0" borderId="46" xfId="0" applyNumberFormat="1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4" fontId="3" fillId="0" borderId="13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>
      <alignment horizontal="center" vertical="center" wrapText="1"/>
    </xf>
    <xf numFmtId="4" fontId="0" fillId="0" borderId="10" xfId="0" applyNumberFormat="1" applyFill="1" applyBorder="1" applyAlignment="1">
      <alignment horizontal="center"/>
    </xf>
    <xf numFmtId="4" fontId="0" fillId="0" borderId="13" xfId="0" applyNumberFormat="1" applyFill="1" applyBorder="1" applyAlignment="1">
      <alignment horizontal="center"/>
    </xf>
    <xf numFmtId="4" fontId="0" fillId="0" borderId="11" xfId="0" applyNumberForma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4" fontId="2" fillId="0" borderId="30" xfId="0" applyNumberFormat="1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31" xfId="0" applyNumberFormat="1" applyFont="1" applyFill="1" applyBorder="1" applyAlignment="1">
      <alignment horizontal="center" vertical="center" wrapText="1"/>
    </xf>
    <xf numFmtId="4" fontId="2" fillId="0" borderId="28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4" fontId="3" fillId="0" borderId="13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19"/>
  <sheetViews>
    <sheetView view="pageBreakPreview" topLeftCell="A55" zoomScale="85" zoomScaleNormal="85" zoomScaleSheetLayoutView="85" workbookViewId="0">
      <selection activeCell="A62" sqref="A62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4" width="20.7109375" style="7" customWidth="1"/>
    <col min="5" max="6" width="20.42578125" style="7" customWidth="1"/>
    <col min="7" max="7" width="10" style="7" bestFit="1" customWidth="1"/>
    <col min="8" max="8" width="15.140625" style="7" customWidth="1"/>
    <col min="9" max="9" width="14.42578125" style="7" customWidth="1"/>
    <col min="10" max="10" width="12.28515625" style="7" bestFit="1" customWidth="1"/>
    <col min="11" max="16384" width="8.85546875" style="7"/>
  </cols>
  <sheetData>
    <row r="1" spans="1:6" ht="18.75" x14ac:dyDescent="0.25">
      <c r="A1" s="237" t="s">
        <v>193</v>
      </c>
      <c r="B1" s="237"/>
      <c r="C1" s="237"/>
      <c r="D1" s="237"/>
      <c r="E1" s="237"/>
      <c r="F1" s="237"/>
    </row>
    <row r="2" spans="1:6" ht="18.75" x14ac:dyDescent="0.25">
      <c r="A2" s="237" t="s">
        <v>456</v>
      </c>
      <c r="B2" s="237"/>
      <c r="C2" s="237"/>
      <c r="D2" s="237"/>
      <c r="E2" s="237"/>
      <c r="F2" s="237"/>
    </row>
    <row r="3" spans="1:6" x14ac:dyDescent="0.25">
      <c r="A3" s="30"/>
    </row>
    <row r="4" spans="1:6" ht="19.5" thickBot="1" x14ac:dyDescent="0.3">
      <c r="A4" s="6"/>
      <c r="F4" s="6" t="s">
        <v>51</v>
      </c>
    </row>
    <row r="5" spans="1:6" ht="18.600000000000001" customHeight="1" x14ac:dyDescent="0.25">
      <c r="A5" s="229" t="s">
        <v>0</v>
      </c>
      <c r="B5" s="231" t="s">
        <v>45</v>
      </c>
      <c r="C5" s="233" t="s">
        <v>46</v>
      </c>
      <c r="D5" s="231" t="s">
        <v>1</v>
      </c>
      <c r="E5" s="231" t="s">
        <v>2</v>
      </c>
      <c r="F5" s="231"/>
    </row>
    <row r="6" spans="1:6" ht="115.15" customHeight="1" thickBot="1" x14ac:dyDescent="0.3">
      <c r="A6" s="230"/>
      <c r="B6" s="232"/>
      <c r="C6" s="234"/>
      <c r="D6" s="232"/>
      <c r="E6" s="117" t="s">
        <v>3</v>
      </c>
      <c r="F6" s="117" t="s">
        <v>4</v>
      </c>
    </row>
    <row r="7" spans="1:6" ht="15.75" thickBot="1" x14ac:dyDescent="0.3">
      <c r="A7" s="43">
        <v>1</v>
      </c>
      <c r="B7" s="44">
        <v>2</v>
      </c>
      <c r="C7" s="44">
        <v>3</v>
      </c>
      <c r="D7" s="44">
        <v>4</v>
      </c>
      <c r="E7" s="44">
        <v>5</v>
      </c>
      <c r="F7" s="44">
        <v>6</v>
      </c>
    </row>
    <row r="8" spans="1:6" ht="56.25" x14ac:dyDescent="0.25">
      <c r="A8" s="39" t="s">
        <v>47</v>
      </c>
      <c r="B8" s="40" t="s">
        <v>5</v>
      </c>
      <c r="C8" s="40" t="s">
        <v>5</v>
      </c>
      <c r="D8" s="41">
        <f>E8+F8</f>
        <v>4327119.04</v>
      </c>
      <c r="E8" s="209">
        <v>4327119.04</v>
      </c>
      <c r="F8" s="41"/>
    </row>
    <row r="9" spans="1:6" ht="56.25" x14ac:dyDescent="0.25">
      <c r="A9" s="115" t="s">
        <v>48</v>
      </c>
      <c r="B9" s="119" t="s">
        <v>5</v>
      </c>
      <c r="C9" s="119" t="s">
        <v>5</v>
      </c>
      <c r="D9" s="5">
        <f t="shared" ref="D9:D83" si="0">E9+F9</f>
        <v>0</v>
      </c>
      <c r="E9" s="210">
        <f>E8+E10-E20+E105</f>
        <v>0</v>
      </c>
      <c r="F9" s="5">
        <f>F8+F10-F20+F105</f>
        <v>0</v>
      </c>
    </row>
    <row r="10" spans="1:6" ht="18.75" x14ac:dyDescent="0.25">
      <c r="A10" s="115" t="s">
        <v>49</v>
      </c>
      <c r="B10" s="119" t="s">
        <v>5</v>
      </c>
      <c r="C10" s="119" t="s">
        <v>5</v>
      </c>
      <c r="D10" s="5">
        <f>E10+F10</f>
        <v>126472563.90000001</v>
      </c>
      <c r="E10" s="211">
        <f>E12+E16</f>
        <v>126472563.90000001</v>
      </c>
      <c r="F10" s="2">
        <f>F12+F16+F105</f>
        <v>0</v>
      </c>
    </row>
    <row r="11" spans="1:6" ht="18.75" x14ac:dyDescent="0.25">
      <c r="A11" s="115" t="s">
        <v>6</v>
      </c>
      <c r="B11" s="119"/>
      <c r="C11" s="119"/>
      <c r="D11" s="5"/>
      <c r="E11" s="211"/>
      <c r="F11" s="2"/>
    </row>
    <row r="12" spans="1:6" ht="93.75" x14ac:dyDescent="0.25">
      <c r="A12" s="115" t="s">
        <v>453</v>
      </c>
      <c r="B12" s="119">
        <v>130</v>
      </c>
      <c r="C12" s="119" t="s">
        <v>5</v>
      </c>
      <c r="D12" s="5">
        <f>E12+F12</f>
        <v>126472563.90000001</v>
      </c>
      <c r="E12" s="211">
        <f>E14+E15</f>
        <v>126472563.90000001</v>
      </c>
      <c r="F12" s="2"/>
    </row>
    <row r="13" spans="1:6" ht="18.75" x14ac:dyDescent="0.25">
      <c r="A13" s="199" t="s">
        <v>9</v>
      </c>
      <c r="B13" s="200"/>
      <c r="C13" s="200"/>
      <c r="D13" s="5"/>
      <c r="E13" s="211"/>
      <c r="F13" s="2"/>
    </row>
    <row r="14" spans="1:6" ht="112.5" x14ac:dyDescent="0.25">
      <c r="A14" s="199" t="s">
        <v>454</v>
      </c>
      <c r="B14" s="200">
        <v>131</v>
      </c>
      <c r="C14" s="200" t="s">
        <v>117</v>
      </c>
      <c r="D14" s="5">
        <f>E14+F14</f>
        <v>126472563.90000001</v>
      </c>
      <c r="E14" s="211">
        <f>161175790.42+478266.85+2292259.61-37473752.98</f>
        <v>126472563.90000001</v>
      </c>
      <c r="F14" s="2"/>
    </row>
    <row r="15" spans="1:6" ht="112.5" x14ac:dyDescent="0.25">
      <c r="A15" s="199" t="s">
        <v>455</v>
      </c>
      <c r="B15" s="200">
        <v>139</v>
      </c>
      <c r="C15" s="200" t="s">
        <v>117</v>
      </c>
      <c r="D15" s="5">
        <f>E15+F15</f>
        <v>0</v>
      </c>
      <c r="E15" s="211">
        <f>0</f>
        <v>0</v>
      </c>
      <c r="F15" s="2"/>
    </row>
    <row r="16" spans="1:6" ht="37.5" x14ac:dyDescent="0.25">
      <c r="A16" s="115" t="s">
        <v>50</v>
      </c>
      <c r="B16" s="119" t="s">
        <v>5</v>
      </c>
      <c r="C16" s="119" t="s">
        <v>5</v>
      </c>
      <c r="D16" s="5">
        <f t="shared" si="0"/>
        <v>0</v>
      </c>
      <c r="E16" s="211">
        <f t="shared" ref="E16:F16" si="1">E18+E19</f>
        <v>0</v>
      </c>
      <c r="F16" s="2">
        <f t="shared" si="1"/>
        <v>0</v>
      </c>
    </row>
    <row r="17" spans="1:8" ht="18.75" x14ac:dyDescent="0.25">
      <c r="A17" s="115" t="s">
        <v>9</v>
      </c>
      <c r="B17" s="119"/>
      <c r="C17" s="119"/>
      <c r="D17" s="5"/>
      <c r="E17" s="211"/>
      <c r="F17" s="2"/>
    </row>
    <row r="18" spans="1:8" ht="131.25" x14ac:dyDescent="0.25">
      <c r="A18" s="115" t="s">
        <v>70</v>
      </c>
      <c r="B18" s="119">
        <v>510</v>
      </c>
      <c r="C18" s="119" t="s">
        <v>5</v>
      </c>
      <c r="D18" s="5">
        <f t="shared" si="0"/>
        <v>0</v>
      </c>
      <c r="E18" s="211"/>
      <c r="F18" s="2"/>
    </row>
    <row r="19" spans="1:8" ht="150" x14ac:dyDescent="0.25">
      <c r="A19" s="115" t="s">
        <v>273</v>
      </c>
      <c r="B19" s="119">
        <v>510</v>
      </c>
      <c r="C19" s="119" t="s">
        <v>5</v>
      </c>
      <c r="D19" s="5">
        <f t="shared" si="0"/>
        <v>0</v>
      </c>
      <c r="E19" s="211"/>
      <c r="F19" s="2"/>
    </row>
    <row r="20" spans="1:8" ht="18.75" x14ac:dyDescent="0.25">
      <c r="A20" s="115" t="s">
        <v>7</v>
      </c>
      <c r="B20" s="119" t="s">
        <v>5</v>
      </c>
      <c r="C20" s="119">
        <v>900</v>
      </c>
      <c r="D20" s="5">
        <f t="shared" si="0"/>
        <v>130799682.94000001</v>
      </c>
      <c r="E20" s="211">
        <f>E22+E91</f>
        <v>130799682.94000001</v>
      </c>
      <c r="F20" s="2">
        <f>F22+F91</f>
        <v>0</v>
      </c>
    </row>
    <row r="21" spans="1:8" ht="18.75" x14ac:dyDescent="0.25">
      <c r="A21" s="115" t="s">
        <v>6</v>
      </c>
      <c r="B21" s="119"/>
      <c r="C21" s="119"/>
      <c r="D21" s="5"/>
      <c r="E21" s="211"/>
      <c r="F21" s="2"/>
    </row>
    <row r="22" spans="1:8" ht="18.75" x14ac:dyDescent="0.25">
      <c r="A22" s="115" t="s">
        <v>8</v>
      </c>
      <c r="B22" s="119" t="s">
        <v>5</v>
      </c>
      <c r="C22" s="119">
        <v>200</v>
      </c>
      <c r="D22" s="5">
        <f t="shared" si="0"/>
        <v>125926962.02000001</v>
      </c>
      <c r="E22" s="211">
        <f>E24+E32+E61+E70</f>
        <v>125926962.02000001</v>
      </c>
      <c r="F22" s="2">
        <f>F24+F32+F61+F70</f>
        <v>0</v>
      </c>
    </row>
    <row r="23" spans="1:8" ht="14.45" customHeight="1" x14ac:dyDescent="0.25">
      <c r="A23" s="115" t="s">
        <v>9</v>
      </c>
      <c r="B23" s="119"/>
      <c r="C23" s="119"/>
      <c r="D23" s="5"/>
      <c r="E23" s="211"/>
      <c r="F23" s="2"/>
    </row>
    <row r="24" spans="1:8" ht="75" x14ac:dyDescent="0.25">
      <c r="A24" s="115" t="s">
        <v>10</v>
      </c>
      <c r="B24" s="119" t="s">
        <v>5</v>
      </c>
      <c r="C24" s="119">
        <v>210</v>
      </c>
      <c r="D24" s="5">
        <f t="shared" si="0"/>
        <v>62362459.70000001</v>
      </c>
      <c r="E24" s="211">
        <f>E26+E27+E28+E29</f>
        <v>62362459.70000001</v>
      </c>
      <c r="F24" s="2">
        <f>F26+F27+F28+F29</f>
        <v>0</v>
      </c>
    </row>
    <row r="25" spans="1:8" ht="18.75" x14ac:dyDescent="0.25">
      <c r="A25" s="115" t="s">
        <v>9</v>
      </c>
      <c r="B25" s="119"/>
      <c r="C25" s="119"/>
      <c r="D25" s="5"/>
      <c r="E25" s="211"/>
      <c r="F25" s="2"/>
    </row>
    <row r="26" spans="1:8" ht="18.75" x14ac:dyDescent="0.25">
      <c r="A26" s="115" t="s">
        <v>11</v>
      </c>
      <c r="B26" s="119">
        <v>111</v>
      </c>
      <c r="C26" s="119">
        <v>211</v>
      </c>
      <c r="D26" s="5">
        <f t="shared" si="0"/>
        <v>47779716.570000008</v>
      </c>
      <c r="E26" s="211">
        <f>45876643.04+367332.45-224826.98+1760568.06</f>
        <v>47779716.570000008</v>
      </c>
      <c r="F26" s="2"/>
    </row>
    <row r="27" spans="1:8" ht="75" x14ac:dyDescent="0.25">
      <c r="A27" s="115" t="s">
        <v>12</v>
      </c>
      <c r="B27" s="119">
        <v>112</v>
      </c>
      <c r="C27" s="119">
        <v>212</v>
      </c>
      <c r="D27" s="5">
        <f t="shared" si="0"/>
        <v>17300</v>
      </c>
      <c r="E27" s="211">
        <f>8000+4300+5000</f>
        <v>17300</v>
      </c>
      <c r="F27" s="2"/>
    </row>
    <row r="28" spans="1:8" ht="56.25" x14ac:dyDescent="0.25">
      <c r="A28" s="115" t="s">
        <v>13</v>
      </c>
      <c r="B28" s="119">
        <v>119</v>
      </c>
      <c r="C28" s="119">
        <v>213</v>
      </c>
      <c r="D28" s="5">
        <f t="shared" si="0"/>
        <v>14565443.130000003</v>
      </c>
      <c r="E28" s="211">
        <f>13854746.21+68070.97+110934.4+531691.55</f>
        <v>14565443.130000003</v>
      </c>
      <c r="F28" s="2"/>
    </row>
    <row r="29" spans="1:8" ht="93.75" x14ac:dyDescent="0.25">
      <c r="A29" s="115" t="s">
        <v>201</v>
      </c>
      <c r="B29" s="119" t="s">
        <v>5</v>
      </c>
      <c r="C29" s="119">
        <v>214</v>
      </c>
      <c r="D29" s="5">
        <f>E29+F29</f>
        <v>0</v>
      </c>
      <c r="E29" s="211">
        <f>E30+E31</f>
        <v>0</v>
      </c>
      <c r="F29" s="2">
        <f>F30+F31</f>
        <v>0</v>
      </c>
    </row>
    <row r="30" spans="1:8" ht="18.75" x14ac:dyDescent="0.25">
      <c r="A30" s="235" t="s">
        <v>6</v>
      </c>
      <c r="B30" s="119">
        <v>112</v>
      </c>
      <c r="C30" s="119">
        <v>214</v>
      </c>
      <c r="D30" s="5">
        <f t="shared" si="0"/>
        <v>0</v>
      </c>
      <c r="E30" s="211"/>
      <c r="F30" s="2"/>
    </row>
    <row r="31" spans="1:8" ht="18.75" x14ac:dyDescent="0.25">
      <c r="A31" s="236"/>
      <c r="B31" s="119">
        <v>244</v>
      </c>
      <c r="C31" s="119">
        <v>214</v>
      </c>
      <c r="D31" s="5">
        <v>0</v>
      </c>
      <c r="E31" s="211"/>
      <c r="F31" s="2"/>
    </row>
    <row r="32" spans="1:8" ht="37.5" x14ac:dyDescent="0.25">
      <c r="A32" s="115" t="s">
        <v>14</v>
      </c>
      <c r="B32" s="119" t="s">
        <v>5</v>
      </c>
      <c r="C32" s="119">
        <v>220</v>
      </c>
      <c r="D32" s="5">
        <f>E32+F32</f>
        <v>53517038.32</v>
      </c>
      <c r="E32" s="211">
        <f>E34+E35+E38+E49+E50+E53+E59+E60</f>
        <v>53517038.32</v>
      </c>
      <c r="F32" s="2">
        <f>F34+F35+F38+F49+F50+F53+F59</f>
        <v>0</v>
      </c>
      <c r="H32" s="50"/>
    </row>
    <row r="33" spans="1:6" ht="18.75" x14ac:dyDescent="0.25">
      <c r="A33" s="115" t="s">
        <v>9</v>
      </c>
      <c r="B33" s="119"/>
      <c r="C33" s="119"/>
      <c r="D33" s="5"/>
      <c r="E33" s="211"/>
      <c r="F33" s="2"/>
    </row>
    <row r="34" spans="1:6" ht="22.15" customHeight="1" x14ac:dyDescent="0.25">
      <c r="A34" s="115" t="s">
        <v>15</v>
      </c>
      <c r="B34" s="119">
        <v>244</v>
      </c>
      <c r="C34" s="119">
        <v>221</v>
      </c>
      <c r="D34" s="5">
        <f t="shared" si="0"/>
        <v>1744793.3199999998</v>
      </c>
      <c r="E34" s="211">
        <f>2377640+41924.23-674770.91</f>
        <v>1744793.3199999998</v>
      </c>
      <c r="F34" s="2"/>
    </row>
    <row r="35" spans="1:6" ht="37.5" x14ac:dyDescent="0.25">
      <c r="A35" s="115" t="s">
        <v>16</v>
      </c>
      <c r="B35" s="119" t="s">
        <v>5</v>
      </c>
      <c r="C35" s="119">
        <v>222</v>
      </c>
      <c r="D35" s="5">
        <f t="shared" si="0"/>
        <v>4000</v>
      </c>
      <c r="E35" s="211">
        <f>E36+E37</f>
        <v>4000</v>
      </c>
      <c r="F35" s="2">
        <f>F36+F37</f>
        <v>0</v>
      </c>
    </row>
    <row r="36" spans="1:6" ht="18.75" x14ac:dyDescent="0.25">
      <c r="A36" s="221" t="s">
        <v>6</v>
      </c>
      <c r="B36" s="119">
        <v>112</v>
      </c>
      <c r="C36" s="119">
        <v>222</v>
      </c>
      <c r="D36" s="5">
        <f t="shared" si="0"/>
        <v>0</v>
      </c>
      <c r="E36" s="211"/>
      <c r="F36" s="2"/>
    </row>
    <row r="37" spans="1:6" ht="18.75" x14ac:dyDescent="0.25">
      <c r="A37" s="221"/>
      <c r="B37" s="119">
        <v>244</v>
      </c>
      <c r="C37" s="119">
        <v>222</v>
      </c>
      <c r="D37" s="5">
        <f t="shared" si="0"/>
        <v>4000</v>
      </c>
      <c r="E37" s="211">
        <f>4000</f>
        <v>4000</v>
      </c>
      <c r="F37" s="2"/>
    </row>
    <row r="38" spans="1:6" ht="37.5" x14ac:dyDescent="0.25">
      <c r="A38" s="115" t="s">
        <v>17</v>
      </c>
      <c r="B38" s="119" t="s">
        <v>5</v>
      </c>
      <c r="C38" s="119">
        <v>223</v>
      </c>
      <c r="D38" s="5">
        <f t="shared" si="0"/>
        <v>21441319.210000001</v>
      </c>
      <c r="E38" s="211">
        <f>E41+E43+E45+E46+E47+E48</f>
        <v>21441319.210000001</v>
      </c>
      <c r="F38" s="2">
        <f t="shared" ref="F38" si="2">F41+F43+F45+F46+F47</f>
        <v>0</v>
      </c>
    </row>
    <row r="39" spans="1:6" ht="22.9" customHeight="1" x14ac:dyDescent="0.25">
      <c r="A39" s="115" t="s">
        <v>6</v>
      </c>
      <c r="B39" s="119"/>
      <c r="C39" s="119"/>
      <c r="D39" s="5"/>
      <c r="E39" s="211"/>
      <c r="F39" s="2"/>
    </row>
    <row r="40" spans="1:6" ht="56.25" x14ac:dyDescent="0.25">
      <c r="A40" s="190" t="s">
        <v>18</v>
      </c>
      <c r="B40" s="191">
        <v>244</v>
      </c>
      <c r="C40" s="191">
        <v>223</v>
      </c>
      <c r="D40" s="5">
        <f t="shared" ref="D40" si="3">E40+F40</f>
        <v>0</v>
      </c>
      <c r="E40" s="211">
        <v>0</v>
      </c>
      <c r="F40" s="2"/>
    </row>
    <row r="41" spans="1:6" ht="56.25" x14ac:dyDescent="0.25">
      <c r="A41" s="115" t="s">
        <v>18</v>
      </c>
      <c r="B41" s="119">
        <v>247</v>
      </c>
      <c r="C41" s="119">
        <v>223</v>
      </c>
      <c r="D41" s="5">
        <f t="shared" si="0"/>
        <v>0</v>
      </c>
      <c r="E41" s="211">
        <v>0</v>
      </c>
      <c r="F41" s="2"/>
    </row>
    <row r="42" spans="1:6" ht="37.5" x14ac:dyDescent="0.25">
      <c r="A42" s="190" t="s">
        <v>19</v>
      </c>
      <c r="B42" s="191">
        <v>244</v>
      </c>
      <c r="C42" s="191">
        <v>223</v>
      </c>
      <c r="D42" s="5">
        <f t="shared" ref="D42" si="4">E42+F42</f>
        <v>0</v>
      </c>
      <c r="E42" s="211">
        <v>0</v>
      </c>
      <c r="F42" s="2"/>
    </row>
    <row r="43" spans="1:6" ht="37.5" x14ac:dyDescent="0.25">
      <c r="A43" s="115" t="s">
        <v>19</v>
      </c>
      <c r="B43" s="119">
        <v>247</v>
      </c>
      <c r="C43" s="119">
        <v>223</v>
      </c>
      <c r="D43" s="5">
        <f t="shared" si="0"/>
        <v>2718701.82</v>
      </c>
      <c r="E43" s="211">
        <f>3583464.12+307224.26-1171986.56</f>
        <v>2718701.82</v>
      </c>
      <c r="F43" s="2"/>
    </row>
    <row r="44" spans="1:6" ht="75" x14ac:dyDescent="0.25">
      <c r="A44" s="190" t="s">
        <v>20</v>
      </c>
      <c r="B44" s="191">
        <v>244</v>
      </c>
      <c r="C44" s="191">
        <v>223</v>
      </c>
      <c r="D44" s="5">
        <f t="shared" ref="D44" si="5">E44+F44</f>
        <v>0</v>
      </c>
      <c r="E44" s="211">
        <v>0</v>
      </c>
      <c r="F44" s="2"/>
    </row>
    <row r="45" spans="1:6" ht="75" x14ac:dyDescent="0.25">
      <c r="A45" s="115" t="s">
        <v>20</v>
      </c>
      <c r="B45" s="119">
        <v>247</v>
      </c>
      <c r="C45" s="119">
        <v>223</v>
      </c>
      <c r="D45" s="5">
        <f t="shared" si="0"/>
        <v>18009145.140000001</v>
      </c>
      <c r="E45" s="211">
        <f>25015935+2299382.02-9306171.88</f>
        <v>18009145.140000001</v>
      </c>
      <c r="F45" s="2"/>
    </row>
    <row r="46" spans="1:6" ht="75" x14ac:dyDescent="0.25">
      <c r="A46" s="115" t="s">
        <v>21</v>
      </c>
      <c r="B46" s="119">
        <v>244</v>
      </c>
      <c r="C46" s="119">
        <v>223</v>
      </c>
      <c r="D46" s="5">
        <f t="shared" si="0"/>
        <v>522038.00000000023</v>
      </c>
      <c r="E46" s="211">
        <f>6496854+227107.71-30244.85-4981348.95-1190329.91</f>
        <v>522038.00000000023</v>
      </c>
      <c r="F46" s="2"/>
    </row>
    <row r="47" spans="1:6" ht="56.25" x14ac:dyDescent="0.25">
      <c r="A47" s="115" t="s">
        <v>22</v>
      </c>
      <c r="B47" s="119">
        <v>244</v>
      </c>
      <c r="C47" s="119">
        <v>223</v>
      </c>
      <c r="D47" s="5">
        <f t="shared" si="0"/>
        <v>161189.39999999997</v>
      </c>
      <c r="E47" s="211">
        <f>589481.1-428291.7</f>
        <v>161189.39999999997</v>
      </c>
      <c r="F47" s="2"/>
    </row>
    <row r="48" spans="1:6" ht="56.25" x14ac:dyDescent="0.25">
      <c r="A48" s="195" t="s">
        <v>442</v>
      </c>
      <c r="B48" s="196">
        <v>244</v>
      </c>
      <c r="C48" s="196">
        <v>223</v>
      </c>
      <c r="D48" s="5">
        <f t="shared" ref="D48" si="6">E48+F48</f>
        <v>30244.85</v>
      </c>
      <c r="E48" s="211">
        <f>30244.85</f>
        <v>30244.85</v>
      </c>
      <c r="F48" s="2"/>
    </row>
    <row r="49" spans="1:6" ht="143.44999999999999" customHeight="1" x14ac:dyDescent="0.25">
      <c r="A49" s="115" t="s">
        <v>23</v>
      </c>
      <c r="B49" s="119">
        <v>244</v>
      </c>
      <c r="C49" s="119">
        <v>224</v>
      </c>
      <c r="D49" s="5">
        <f t="shared" si="0"/>
        <v>0</v>
      </c>
      <c r="E49" s="211"/>
      <c r="F49" s="2"/>
    </row>
    <row r="50" spans="1:6" ht="56.25" x14ac:dyDescent="0.25">
      <c r="A50" s="115" t="s">
        <v>24</v>
      </c>
      <c r="B50" s="119" t="s">
        <v>5</v>
      </c>
      <c r="C50" s="119">
        <v>225</v>
      </c>
      <c r="D50" s="2">
        <f t="shared" ref="D50:F50" si="7">D51+D52</f>
        <v>21719890.530000001</v>
      </c>
      <c r="E50" s="211">
        <f>E51+E52</f>
        <v>21719890.530000001</v>
      </c>
      <c r="F50" s="2">
        <f t="shared" si="7"/>
        <v>0</v>
      </c>
    </row>
    <row r="51" spans="1:6" ht="18.75" x14ac:dyDescent="0.25">
      <c r="A51" s="221" t="s">
        <v>6</v>
      </c>
      <c r="B51" s="119">
        <v>243</v>
      </c>
      <c r="C51" s="119">
        <v>225</v>
      </c>
      <c r="D51" s="5">
        <f t="shared" si="0"/>
        <v>0</v>
      </c>
      <c r="E51" s="211"/>
      <c r="F51" s="2"/>
    </row>
    <row r="52" spans="1:6" ht="18.75" x14ac:dyDescent="0.25">
      <c r="A52" s="221"/>
      <c r="B52" s="119">
        <v>244</v>
      </c>
      <c r="C52" s="119">
        <v>225</v>
      </c>
      <c r="D52" s="5">
        <f t="shared" si="0"/>
        <v>21719890.530000001</v>
      </c>
      <c r="E52" s="211">
        <f>24992701.13+393553.42-3649564.02-16800</f>
        <v>21719890.530000001</v>
      </c>
      <c r="F52" s="2"/>
    </row>
    <row r="53" spans="1:6" ht="37.5" x14ac:dyDescent="0.25">
      <c r="A53" s="115" t="s">
        <v>58</v>
      </c>
      <c r="B53" s="119" t="s">
        <v>5</v>
      </c>
      <c r="C53" s="119">
        <v>226</v>
      </c>
      <c r="D53" s="5">
        <f t="shared" si="0"/>
        <v>8590567.6399999987</v>
      </c>
      <c r="E53" s="211">
        <f>E54+E55+E57+E58+E56</f>
        <v>8590567.6399999987</v>
      </c>
      <c r="F53" s="2">
        <f>F54+F55+F57+F58+F56</f>
        <v>0</v>
      </c>
    </row>
    <row r="54" spans="1:6" ht="18.75" x14ac:dyDescent="0.25">
      <c r="A54" s="221" t="s">
        <v>6</v>
      </c>
      <c r="B54" s="119">
        <v>112</v>
      </c>
      <c r="C54" s="119">
        <v>226</v>
      </c>
      <c r="D54" s="5">
        <f t="shared" si="0"/>
        <v>80000</v>
      </c>
      <c r="E54" s="211">
        <f>80000</f>
        <v>80000</v>
      </c>
      <c r="F54" s="2"/>
    </row>
    <row r="55" spans="1:6" ht="18.75" x14ac:dyDescent="0.25">
      <c r="A55" s="221"/>
      <c r="B55" s="119">
        <v>113</v>
      </c>
      <c r="C55" s="119">
        <v>226</v>
      </c>
      <c r="D55" s="5">
        <f t="shared" si="0"/>
        <v>0</v>
      </c>
      <c r="E55" s="211"/>
      <c r="F55" s="2"/>
    </row>
    <row r="56" spans="1:6" ht="18.75" x14ac:dyDescent="0.25">
      <c r="A56" s="221"/>
      <c r="B56" s="119">
        <v>119</v>
      </c>
      <c r="C56" s="119">
        <v>226</v>
      </c>
      <c r="D56" s="5">
        <f t="shared" si="0"/>
        <v>0</v>
      </c>
      <c r="E56" s="211"/>
      <c r="F56" s="2"/>
    </row>
    <row r="57" spans="1:6" ht="18.75" x14ac:dyDescent="0.25">
      <c r="A57" s="221"/>
      <c r="B57" s="119">
        <v>243</v>
      </c>
      <c r="C57" s="119">
        <v>226</v>
      </c>
      <c r="D57" s="5">
        <f t="shared" si="0"/>
        <v>0</v>
      </c>
      <c r="E57" s="211"/>
      <c r="F57" s="2"/>
    </row>
    <row r="58" spans="1:6" ht="18.75" x14ac:dyDescent="0.25">
      <c r="A58" s="221"/>
      <c r="B58" s="119">
        <v>244</v>
      </c>
      <c r="C58" s="119">
        <v>226</v>
      </c>
      <c r="D58" s="5">
        <f t="shared" si="0"/>
        <v>8510567.6399999987</v>
      </c>
      <c r="E58" s="211">
        <f>9008461.28+121583.51-625777.15+6300</f>
        <v>8510567.6399999987</v>
      </c>
      <c r="F58" s="2"/>
    </row>
    <row r="59" spans="1:6" ht="18.75" x14ac:dyDescent="0.25">
      <c r="A59" s="115" t="s">
        <v>25</v>
      </c>
      <c r="B59" s="119">
        <v>244</v>
      </c>
      <c r="C59" s="119">
        <v>227</v>
      </c>
      <c r="D59" s="5">
        <f t="shared" si="0"/>
        <v>16467.62</v>
      </c>
      <c r="E59" s="211">
        <f>5067.62+900+10500</f>
        <v>16467.62</v>
      </c>
      <c r="F59" s="2"/>
    </row>
    <row r="60" spans="1:6" ht="56.25" x14ac:dyDescent="0.25">
      <c r="A60" s="170" t="s">
        <v>345</v>
      </c>
      <c r="B60" s="171">
        <v>244</v>
      </c>
      <c r="C60" s="171">
        <v>228</v>
      </c>
      <c r="D60" s="5">
        <f t="shared" ref="D60" si="8">E60+F60</f>
        <v>0</v>
      </c>
      <c r="E60" s="211">
        <v>0</v>
      </c>
      <c r="F60" s="2"/>
    </row>
    <row r="61" spans="1:6" ht="37.5" x14ac:dyDescent="0.25">
      <c r="A61" s="115" t="s">
        <v>26</v>
      </c>
      <c r="B61" s="119" t="s">
        <v>5</v>
      </c>
      <c r="C61" s="119">
        <v>260</v>
      </c>
      <c r="D61" s="5">
        <f>E61+F61</f>
        <v>300000</v>
      </c>
      <c r="E61" s="211">
        <f>E62+E63+E64+E65+E69</f>
        <v>300000</v>
      </c>
      <c r="F61" s="2">
        <f>F63+F65+F69</f>
        <v>0</v>
      </c>
    </row>
    <row r="62" spans="1:6" ht="93.75" x14ac:dyDescent="0.25">
      <c r="A62" s="219" t="s">
        <v>501</v>
      </c>
      <c r="B62" s="220">
        <v>323</v>
      </c>
      <c r="C62" s="220">
        <v>263</v>
      </c>
      <c r="D62" s="5"/>
      <c r="E62" s="211"/>
      <c r="F62" s="2"/>
    </row>
    <row r="63" spans="1:6" ht="112.5" x14ac:dyDescent="0.25">
      <c r="A63" s="115" t="s">
        <v>27</v>
      </c>
      <c r="B63" s="119">
        <v>321</v>
      </c>
      <c r="C63" s="119">
        <v>264</v>
      </c>
      <c r="D63" s="5">
        <f t="shared" si="0"/>
        <v>0</v>
      </c>
      <c r="E63" s="211"/>
      <c r="F63" s="2"/>
    </row>
    <row r="64" spans="1:6" ht="168.75" x14ac:dyDescent="0.25">
      <c r="A64" s="193" t="s">
        <v>441</v>
      </c>
      <c r="B64" s="194">
        <v>119</v>
      </c>
      <c r="C64" s="194">
        <v>265</v>
      </c>
      <c r="D64" s="5">
        <f t="shared" ref="D64" si="9">E64+F64</f>
        <v>0</v>
      </c>
      <c r="E64" s="211">
        <v>0</v>
      </c>
      <c r="F64" s="2"/>
    </row>
    <row r="65" spans="1:6" ht="93.75" x14ac:dyDescent="0.25">
      <c r="A65" s="115" t="s">
        <v>28</v>
      </c>
      <c r="B65" s="119" t="s">
        <v>5</v>
      </c>
      <c r="C65" s="119">
        <v>266</v>
      </c>
      <c r="D65" s="5">
        <f t="shared" si="0"/>
        <v>300000</v>
      </c>
      <c r="E65" s="211">
        <f t="shared" ref="E65:F65" si="10">E66+E67</f>
        <v>300000</v>
      </c>
      <c r="F65" s="2">
        <f t="shared" si="10"/>
        <v>0</v>
      </c>
    </row>
    <row r="66" spans="1:6" ht="18.75" x14ac:dyDescent="0.25">
      <c r="A66" s="221" t="s">
        <v>6</v>
      </c>
      <c r="B66" s="119">
        <v>111</v>
      </c>
      <c r="C66" s="119">
        <v>266</v>
      </c>
      <c r="D66" s="5">
        <f t="shared" si="0"/>
        <v>300000</v>
      </c>
      <c r="E66" s="211">
        <f>49999.92+25173.1+224826.98</f>
        <v>300000</v>
      </c>
      <c r="F66" s="2"/>
    </row>
    <row r="67" spans="1:6" ht="18.75" x14ac:dyDescent="0.25">
      <c r="A67" s="221"/>
      <c r="B67" s="119">
        <v>112</v>
      </c>
      <c r="C67" s="119">
        <v>266</v>
      </c>
      <c r="D67" s="5">
        <f>E67+F67</f>
        <v>0</v>
      </c>
      <c r="E67" s="211"/>
      <c r="F67" s="2"/>
    </row>
    <row r="68" spans="1:6" ht="18.75" x14ac:dyDescent="0.25">
      <c r="A68" s="219"/>
      <c r="B68" s="220">
        <v>119</v>
      </c>
      <c r="C68" s="220">
        <v>266</v>
      </c>
      <c r="D68" s="5">
        <f>E68+F68</f>
        <v>0</v>
      </c>
      <c r="E68" s="211"/>
      <c r="F68" s="2"/>
    </row>
    <row r="69" spans="1:6" ht="75" x14ac:dyDescent="0.25">
      <c r="A69" s="115" t="s">
        <v>29</v>
      </c>
      <c r="B69" s="119">
        <v>112</v>
      </c>
      <c r="C69" s="119">
        <v>267</v>
      </c>
      <c r="D69" s="5">
        <f t="shared" si="0"/>
        <v>0</v>
      </c>
      <c r="E69" s="211"/>
      <c r="F69" s="2"/>
    </row>
    <row r="70" spans="1:6" ht="18.75" x14ac:dyDescent="0.25">
      <c r="A70" s="115" t="s">
        <v>30</v>
      </c>
      <c r="B70" s="119" t="s">
        <v>5</v>
      </c>
      <c r="C70" s="119">
        <v>290</v>
      </c>
      <c r="D70" s="5">
        <f t="shared" si="0"/>
        <v>9747463.9999999981</v>
      </c>
      <c r="E70" s="211">
        <f>E72+E76+E77+E78+E79+E86</f>
        <v>9747463.9999999981</v>
      </c>
      <c r="F70" s="2">
        <f>F72+F76+F77+F78+F79+F86</f>
        <v>0</v>
      </c>
    </row>
    <row r="71" spans="1:6" ht="18.75" x14ac:dyDescent="0.25">
      <c r="A71" s="115" t="s">
        <v>9</v>
      </c>
      <c r="B71" s="119"/>
      <c r="C71" s="119"/>
      <c r="D71" s="5">
        <f t="shared" si="0"/>
        <v>0</v>
      </c>
      <c r="E71" s="211"/>
      <c r="F71" s="2"/>
    </row>
    <row r="72" spans="1:6" ht="37.5" x14ac:dyDescent="0.25">
      <c r="A72" s="115" t="s">
        <v>31</v>
      </c>
      <c r="B72" s="119" t="s">
        <v>5</v>
      </c>
      <c r="C72" s="119">
        <v>291</v>
      </c>
      <c r="D72" s="5">
        <f t="shared" si="0"/>
        <v>9747463.9999999981</v>
      </c>
      <c r="E72" s="211">
        <f t="shared" ref="E72:F72" si="11">E73+E74+E75</f>
        <v>9747463.9999999981</v>
      </c>
      <c r="F72" s="2">
        <f t="shared" si="11"/>
        <v>0</v>
      </c>
    </row>
    <row r="73" spans="1:6" ht="18.75" x14ac:dyDescent="0.25">
      <c r="A73" s="221" t="s">
        <v>6</v>
      </c>
      <c r="B73" s="119">
        <v>851</v>
      </c>
      <c r="C73" s="119">
        <v>291</v>
      </c>
      <c r="D73" s="5">
        <f t="shared" si="0"/>
        <v>9740613.9999999981</v>
      </c>
      <c r="E73" s="211">
        <f>19861943.38-10121329.38</f>
        <v>9740613.9999999981</v>
      </c>
      <c r="F73" s="2"/>
    </row>
    <row r="74" spans="1:6" ht="18.75" x14ac:dyDescent="0.25">
      <c r="A74" s="221"/>
      <c r="B74" s="119">
        <v>852</v>
      </c>
      <c r="C74" s="119">
        <v>291</v>
      </c>
      <c r="D74" s="5">
        <f t="shared" si="0"/>
        <v>6850</v>
      </c>
      <c r="E74" s="211">
        <f>51650-44800</f>
        <v>6850</v>
      </c>
      <c r="F74" s="2"/>
    </row>
    <row r="75" spans="1:6" ht="18.75" x14ac:dyDescent="0.25">
      <c r="A75" s="221"/>
      <c r="B75" s="119">
        <v>853</v>
      </c>
      <c r="C75" s="119">
        <v>291</v>
      </c>
      <c r="D75" s="5">
        <f t="shared" si="0"/>
        <v>0</v>
      </c>
      <c r="E75" s="211">
        <f>1300-1300</f>
        <v>0</v>
      </c>
      <c r="F75" s="2"/>
    </row>
    <row r="76" spans="1:6" ht="112.5" x14ac:dyDescent="0.25">
      <c r="A76" s="115" t="s">
        <v>32</v>
      </c>
      <c r="B76" s="119">
        <v>853</v>
      </c>
      <c r="C76" s="119">
        <v>292</v>
      </c>
      <c r="D76" s="5">
        <f t="shared" si="0"/>
        <v>0</v>
      </c>
      <c r="E76" s="211"/>
      <c r="F76" s="2">
        <v>0</v>
      </c>
    </row>
    <row r="77" spans="1:6" ht="131.25" x14ac:dyDescent="0.25">
      <c r="A77" s="115" t="s">
        <v>33</v>
      </c>
      <c r="B77" s="119">
        <v>853</v>
      </c>
      <c r="C77" s="119">
        <v>293</v>
      </c>
      <c r="D77" s="5">
        <f t="shared" si="0"/>
        <v>0</v>
      </c>
      <c r="E77" s="211"/>
      <c r="F77" s="2">
        <v>0</v>
      </c>
    </row>
    <row r="78" spans="1:6" ht="57" customHeight="1" x14ac:dyDescent="0.25">
      <c r="A78" s="115" t="s">
        <v>158</v>
      </c>
      <c r="B78" s="119">
        <v>853</v>
      </c>
      <c r="C78" s="119">
        <v>295</v>
      </c>
      <c r="D78" s="5">
        <f t="shared" si="0"/>
        <v>0</v>
      </c>
      <c r="E78" s="211"/>
      <c r="F78" s="2">
        <v>0</v>
      </c>
    </row>
    <row r="79" spans="1:6" ht="56.25" x14ac:dyDescent="0.25">
      <c r="A79" s="115" t="s">
        <v>34</v>
      </c>
      <c r="B79" s="119" t="s">
        <v>5</v>
      </c>
      <c r="C79" s="119">
        <v>296</v>
      </c>
      <c r="D79" s="5">
        <f t="shared" si="0"/>
        <v>0</v>
      </c>
      <c r="E79" s="211">
        <f t="shared" ref="E79:F79" si="12">E80+E81+E82+E83+E85</f>
        <v>0</v>
      </c>
      <c r="F79" s="2">
        <f t="shared" si="12"/>
        <v>0</v>
      </c>
    </row>
    <row r="80" spans="1:6" ht="18.75" x14ac:dyDescent="0.25">
      <c r="A80" s="221" t="s">
        <v>6</v>
      </c>
      <c r="B80" s="119">
        <v>244</v>
      </c>
      <c r="C80" s="119">
        <v>296</v>
      </c>
      <c r="D80" s="5">
        <f t="shared" si="0"/>
        <v>0</v>
      </c>
      <c r="E80" s="211"/>
      <c r="F80" s="2"/>
    </row>
    <row r="81" spans="1:6" ht="18.75" x14ac:dyDescent="0.25">
      <c r="A81" s="221"/>
      <c r="B81" s="119">
        <v>340</v>
      </c>
      <c r="C81" s="119">
        <v>296</v>
      </c>
      <c r="D81" s="5">
        <f t="shared" si="0"/>
        <v>0</v>
      </c>
      <c r="E81" s="211"/>
      <c r="F81" s="2"/>
    </row>
    <row r="82" spans="1:6" ht="18.75" x14ac:dyDescent="0.25">
      <c r="A82" s="221"/>
      <c r="B82" s="119">
        <v>350</v>
      </c>
      <c r="C82" s="119">
        <v>296</v>
      </c>
      <c r="D82" s="5">
        <f t="shared" si="0"/>
        <v>0</v>
      </c>
      <c r="E82" s="211"/>
      <c r="F82" s="2"/>
    </row>
    <row r="83" spans="1:6" ht="18.75" x14ac:dyDescent="0.25">
      <c r="A83" s="221"/>
      <c r="B83" s="119">
        <v>360</v>
      </c>
      <c r="C83" s="119">
        <v>296</v>
      </c>
      <c r="D83" s="5">
        <f t="shared" si="0"/>
        <v>0</v>
      </c>
      <c r="E83" s="211"/>
      <c r="F83" s="2"/>
    </row>
    <row r="84" spans="1:6" ht="18.75" x14ac:dyDescent="0.25">
      <c r="A84" s="221"/>
      <c r="B84" s="215">
        <v>831</v>
      </c>
      <c r="C84" s="215">
        <v>296</v>
      </c>
      <c r="D84" s="5">
        <f t="shared" ref="D84" si="13">E84+F84</f>
        <v>0</v>
      </c>
      <c r="E84" s="211"/>
      <c r="F84" s="2"/>
    </row>
    <row r="85" spans="1:6" ht="18.75" x14ac:dyDescent="0.25">
      <c r="A85" s="221"/>
      <c r="B85" s="119">
        <v>853</v>
      </c>
      <c r="C85" s="119">
        <v>296</v>
      </c>
      <c r="D85" s="5">
        <f t="shared" ref="D85:D109" si="14">E85+F85</f>
        <v>0</v>
      </c>
      <c r="E85" s="211"/>
      <c r="F85" s="2"/>
    </row>
    <row r="86" spans="1:6" ht="56.25" x14ac:dyDescent="0.25">
      <c r="A86" s="115" t="s">
        <v>35</v>
      </c>
      <c r="B86" s="119" t="s">
        <v>5</v>
      </c>
      <c r="C86" s="119">
        <v>297</v>
      </c>
      <c r="D86" s="5">
        <f>E86+F86</f>
        <v>0</v>
      </c>
      <c r="E86" s="211">
        <f>E87+E89+E90</f>
        <v>0</v>
      </c>
      <c r="F86" s="2">
        <f>F87+F89+F90</f>
        <v>0</v>
      </c>
    </row>
    <row r="87" spans="1:6" ht="18.75" x14ac:dyDescent="0.25">
      <c r="A87" s="221" t="s">
        <v>6</v>
      </c>
      <c r="B87" s="119">
        <v>244</v>
      </c>
      <c r="C87" s="119">
        <v>297</v>
      </c>
      <c r="D87" s="5">
        <f t="shared" si="14"/>
        <v>0</v>
      </c>
      <c r="E87" s="211"/>
      <c r="F87" s="2"/>
    </row>
    <row r="88" spans="1:6" ht="18.75" x14ac:dyDescent="0.25">
      <c r="A88" s="221"/>
      <c r="B88" s="217">
        <v>613</v>
      </c>
      <c r="C88" s="217">
        <v>297</v>
      </c>
      <c r="D88" s="5">
        <f t="shared" si="14"/>
        <v>0</v>
      </c>
      <c r="E88" s="211"/>
      <c r="F88" s="2"/>
    </row>
    <row r="89" spans="1:6" ht="18.75" x14ac:dyDescent="0.25">
      <c r="A89" s="221"/>
      <c r="B89" s="192">
        <v>831</v>
      </c>
      <c r="C89" s="192">
        <v>297</v>
      </c>
      <c r="D89" s="5">
        <f t="shared" si="14"/>
        <v>0</v>
      </c>
      <c r="E89" s="211"/>
      <c r="F89" s="2"/>
    </row>
    <row r="90" spans="1:6" ht="18.75" x14ac:dyDescent="0.25">
      <c r="A90" s="221"/>
      <c r="B90" s="119">
        <v>853</v>
      </c>
      <c r="C90" s="119">
        <v>297</v>
      </c>
      <c r="D90" s="5">
        <f t="shared" si="14"/>
        <v>0</v>
      </c>
      <c r="E90" s="211"/>
      <c r="F90" s="2"/>
    </row>
    <row r="91" spans="1:6" ht="56.25" x14ac:dyDescent="0.25">
      <c r="A91" s="115" t="s">
        <v>59</v>
      </c>
      <c r="B91" s="119" t="s">
        <v>5</v>
      </c>
      <c r="C91" s="119">
        <v>300</v>
      </c>
      <c r="D91" s="5">
        <f t="shared" si="14"/>
        <v>4872720.919999999</v>
      </c>
      <c r="E91" s="211">
        <f>E93+E95+E94</f>
        <v>4872720.919999999</v>
      </c>
      <c r="F91" s="2">
        <f>F93+F95+F94</f>
        <v>0</v>
      </c>
    </row>
    <row r="92" spans="1:6" ht="14.45" customHeight="1" x14ac:dyDescent="0.25">
      <c r="A92" s="115" t="s">
        <v>9</v>
      </c>
      <c r="B92" s="119"/>
      <c r="C92" s="119"/>
      <c r="D92" s="5"/>
      <c r="E92" s="211"/>
      <c r="F92" s="2"/>
    </row>
    <row r="93" spans="1:6" ht="56.25" x14ac:dyDescent="0.25">
      <c r="A93" s="115" t="s">
        <v>36</v>
      </c>
      <c r="B93" s="119">
        <v>244</v>
      </c>
      <c r="C93" s="119">
        <v>310</v>
      </c>
      <c r="D93" s="5">
        <f t="shared" si="14"/>
        <v>0</v>
      </c>
      <c r="E93" s="211"/>
      <c r="F93" s="2"/>
    </row>
    <row r="94" spans="1:6" ht="75" x14ac:dyDescent="0.25">
      <c r="A94" s="115" t="s">
        <v>68</v>
      </c>
      <c r="B94" s="119">
        <v>244</v>
      </c>
      <c r="C94" s="119">
        <v>320</v>
      </c>
      <c r="D94" s="5">
        <f t="shared" si="14"/>
        <v>0</v>
      </c>
      <c r="E94" s="211"/>
      <c r="F94" s="2"/>
    </row>
    <row r="95" spans="1:6" ht="75" x14ac:dyDescent="0.25">
      <c r="A95" s="115" t="s">
        <v>60</v>
      </c>
      <c r="B95" s="119" t="s">
        <v>5</v>
      </c>
      <c r="C95" s="119">
        <v>340</v>
      </c>
      <c r="D95" s="5">
        <f t="shared" si="14"/>
        <v>4872720.919999999</v>
      </c>
      <c r="E95" s="211">
        <f>E97+E98+E99+E100+E101+E102+E103+E104</f>
        <v>4872720.919999999</v>
      </c>
      <c r="F95" s="2">
        <f>F97+F98+F99+F100+F101+F102+F104</f>
        <v>0</v>
      </c>
    </row>
    <row r="96" spans="1:6" ht="18.75" x14ac:dyDescent="0.25">
      <c r="A96" s="115" t="s">
        <v>6</v>
      </c>
      <c r="B96" s="119"/>
      <c r="C96" s="119"/>
      <c r="D96" s="5"/>
      <c r="E96" s="211"/>
      <c r="F96" s="2"/>
    </row>
    <row r="97" spans="1:6" ht="131.25" x14ac:dyDescent="0.25">
      <c r="A97" s="115" t="s">
        <v>37</v>
      </c>
      <c r="B97" s="119">
        <v>244</v>
      </c>
      <c r="C97" s="119">
        <v>341</v>
      </c>
      <c r="D97" s="5">
        <f t="shared" si="14"/>
        <v>0</v>
      </c>
      <c r="E97" s="211"/>
      <c r="F97" s="2"/>
    </row>
    <row r="98" spans="1:6" ht="56.25" x14ac:dyDescent="0.25">
      <c r="A98" s="115" t="s">
        <v>38</v>
      </c>
      <c r="B98" s="119">
        <v>244</v>
      </c>
      <c r="C98" s="119">
        <v>342</v>
      </c>
      <c r="D98" s="5">
        <f t="shared" si="14"/>
        <v>0</v>
      </c>
      <c r="E98" s="211">
        <v>0</v>
      </c>
      <c r="F98" s="2"/>
    </row>
    <row r="99" spans="1:6" ht="75" x14ac:dyDescent="0.25">
      <c r="A99" s="115" t="s">
        <v>39</v>
      </c>
      <c r="B99" s="119">
        <v>244</v>
      </c>
      <c r="C99" s="119">
        <v>343</v>
      </c>
      <c r="D99" s="5">
        <f t="shared" si="14"/>
        <v>244800</v>
      </c>
      <c r="E99" s="211">
        <f>290000+44394.61-89594.61</f>
        <v>244800</v>
      </c>
      <c r="F99" s="2"/>
    </row>
    <row r="100" spans="1:6" ht="75" x14ac:dyDescent="0.25">
      <c r="A100" s="115" t="s">
        <v>40</v>
      </c>
      <c r="B100" s="119">
        <v>244</v>
      </c>
      <c r="C100" s="119">
        <v>344</v>
      </c>
      <c r="D100" s="5">
        <f t="shared" si="14"/>
        <v>224794.3</v>
      </c>
      <c r="E100" s="211">
        <f>200000+24794.3</f>
        <v>224794.3</v>
      </c>
      <c r="F100" s="2"/>
    </row>
    <row r="101" spans="1:6" ht="56.25" x14ac:dyDescent="0.25">
      <c r="A101" s="115" t="s">
        <v>41</v>
      </c>
      <c r="B101" s="119">
        <v>244</v>
      </c>
      <c r="C101" s="119">
        <v>345</v>
      </c>
      <c r="D101" s="5">
        <f t="shared" si="14"/>
        <v>600000</v>
      </c>
      <c r="E101" s="211">
        <f>334245+510550-134795-110000</f>
        <v>600000</v>
      </c>
      <c r="F101" s="2"/>
    </row>
    <row r="102" spans="1:6" ht="75" x14ac:dyDescent="0.25">
      <c r="A102" s="115" t="s">
        <v>42</v>
      </c>
      <c r="B102" s="119">
        <v>244</v>
      </c>
      <c r="C102" s="119">
        <v>346</v>
      </c>
      <c r="D102" s="5">
        <f t="shared" si="14"/>
        <v>3653126.6199999992</v>
      </c>
      <c r="E102" s="211">
        <f>8428958.62+258160.91+9343294.28-150000-14227287.19</f>
        <v>3653126.6199999992</v>
      </c>
      <c r="F102" s="2"/>
    </row>
    <row r="103" spans="1:6" ht="112.5" x14ac:dyDescent="0.25">
      <c r="A103" s="170" t="s">
        <v>346</v>
      </c>
      <c r="B103" s="171">
        <v>244</v>
      </c>
      <c r="C103" s="171">
        <v>347</v>
      </c>
      <c r="D103" s="5">
        <f t="shared" ref="D103" si="15">E103+F103</f>
        <v>0</v>
      </c>
      <c r="E103" s="211">
        <v>0</v>
      </c>
      <c r="F103" s="2"/>
    </row>
    <row r="104" spans="1:6" ht="112.5" x14ac:dyDescent="0.25">
      <c r="A104" s="115" t="s">
        <v>43</v>
      </c>
      <c r="B104" s="119">
        <v>244</v>
      </c>
      <c r="C104" s="119">
        <v>349</v>
      </c>
      <c r="D104" s="5">
        <f t="shared" si="14"/>
        <v>150000</v>
      </c>
      <c r="E104" s="211">
        <f>148700-80000-68700+150000</f>
        <v>150000</v>
      </c>
      <c r="F104" s="2"/>
    </row>
    <row r="105" spans="1:6" ht="56.25" x14ac:dyDescent="0.25">
      <c r="A105" s="115" t="s">
        <v>67</v>
      </c>
      <c r="B105" s="119" t="s">
        <v>5</v>
      </c>
      <c r="C105" s="119" t="s">
        <v>5</v>
      </c>
      <c r="D105" s="5">
        <f t="shared" si="14"/>
        <v>0</v>
      </c>
      <c r="E105" s="211">
        <f t="shared" ref="E105:F105" si="16">E107+E108+E109</f>
        <v>0</v>
      </c>
      <c r="F105" s="2">
        <f t="shared" si="16"/>
        <v>0</v>
      </c>
    </row>
    <row r="106" spans="1:6" ht="18.75" x14ac:dyDescent="0.25">
      <c r="A106" s="115" t="s">
        <v>6</v>
      </c>
      <c r="B106" s="119"/>
      <c r="C106" s="119"/>
      <c r="D106" s="5"/>
      <c r="E106" s="211"/>
      <c r="F106" s="2"/>
    </row>
    <row r="107" spans="1:6" ht="25.15" customHeight="1" x14ac:dyDescent="0.25">
      <c r="A107" s="115" t="s">
        <v>194</v>
      </c>
      <c r="B107" s="119">
        <v>180</v>
      </c>
      <c r="C107" s="119" t="s">
        <v>5</v>
      </c>
      <c r="D107" s="5">
        <f t="shared" si="14"/>
        <v>0</v>
      </c>
      <c r="E107" s="211"/>
      <c r="F107" s="2"/>
    </row>
    <row r="108" spans="1:6" ht="56.25" x14ac:dyDescent="0.25">
      <c r="A108" s="115" t="s">
        <v>195</v>
      </c>
      <c r="B108" s="119">
        <v>180</v>
      </c>
      <c r="C108" s="119" t="s">
        <v>5</v>
      </c>
      <c r="D108" s="5">
        <f t="shared" si="14"/>
        <v>0</v>
      </c>
      <c r="E108" s="211"/>
      <c r="F108" s="2"/>
    </row>
    <row r="109" spans="1:6" ht="57" thickBot="1" x14ac:dyDescent="0.3">
      <c r="A109" s="32" t="s">
        <v>196</v>
      </c>
      <c r="B109" s="33">
        <v>180</v>
      </c>
      <c r="C109" s="33" t="s">
        <v>5</v>
      </c>
      <c r="D109" s="34">
        <f t="shared" si="14"/>
        <v>0</v>
      </c>
      <c r="E109" s="212"/>
      <c r="F109" s="35"/>
    </row>
    <row r="110" spans="1:6" ht="18.600000000000001" customHeight="1" x14ac:dyDescent="0.25">
      <c r="A110" s="15"/>
      <c r="B110" s="19"/>
      <c r="C110" s="19"/>
      <c r="D110" s="36"/>
      <c r="E110" s="36"/>
      <c r="F110" s="36"/>
    </row>
    <row r="111" spans="1:6" x14ac:dyDescent="0.25">
      <c r="A111" s="11"/>
    </row>
    <row r="112" spans="1:6" ht="37.5" x14ac:dyDescent="0.3">
      <c r="A112" s="29" t="s">
        <v>52</v>
      </c>
      <c r="B112" s="224"/>
      <c r="C112" s="224"/>
      <c r="D112" s="10"/>
      <c r="E112" s="224" t="s">
        <v>499</v>
      </c>
      <c r="F112" s="224"/>
    </row>
    <row r="113" spans="1:10" ht="18.75" x14ac:dyDescent="0.3">
      <c r="A113" s="29"/>
      <c r="B113" s="223" t="s">
        <v>53</v>
      </c>
      <c r="C113" s="223"/>
      <c r="D113" s="10"/>
      <c r="E113" s="223" t="s">
        <v>54</v>
      </c>
      <c r="F113" s="223"/>
    </row>
    <row r="114" spans="1:10" ht="18.75" x14ac:dyDescent="0.3">
      <c r="A114" s="29"/>
      <c r="B114" s="10"/>
      <c r="C114" s="10"/>
      <c r="D114" s="10"/>
      <c r="E114" s="10"/>
      <c r="F114" s="10"/>
    </row>
    <row r="115" spans="1:10" ht="37.5" x14ac:dyDescent="0.3">
      <c r="A115" s="29" t="s">
        <v>55</v>
      </c>
      <c r="B115" s="224"/>
      <c r="C115" s="224"/>
      <c r="D115" s="10"/>
      <c r="E115" s="224" t="s">
        <v>500</v>
      </c>
      <c r="F115" s="224"/>
    </row>
    <row r="116" spans="1:10" ht="18.75" x14ac:dyDescent="0.3">
      <c r="A116" s="29"/>
      <c r="B116" s="223" t="s">
        <v>53</v>
      </c>
      <c r="C116" s="223"/>
      <c r="D116" s="10"/>
      <c r="E116" s="223" t="s">
        <v>54</v>
      </c>
      <c r="F116" s="223"/>
    </row>
    <row r="117" spans="1:10" ht="18.75" x14ac:dyDescent="0.3">
      <c r="A117" s="29"/>
      <c r="B117" s="46"/>
      <c r="C117" s="46"/>
      <c r="D117" s="10"/>
      <c r="E117" s="46"/>
      <c r="F117" s="46"/>
    </row>
    <row r="118" spans="1:10" ht="18.75" x14ac:dyDescent="0.3">
      <c r="A118" s="29" t="s">
        <v>56</v>
      </c>
      <c r="B118" s="224"/>
      <c r="C118" s="224"/>
      <c r="D118" s="10"/>
      <c r="E118" s="224" t="s">
        <v>500</v>
      </c>
      <c r="F118" s="224"/>
    </row>
    <row r="119" spans="1:10" ht="18.75" x14ac:dyDescent="0.3">
      <c r="A119" s="29"/>
      <c r="B119" s="223" t="s">
        <v>53</v>
      </c>
      <c r="C119" s="223"/>
      <c r="D119" s="10"/>
      <c r="E119" s="223" t="s">
        <v>54</v>
      </c>
      <c r="F119" s="223"/>
    </row>
    <row r="120" spans="1:10" ht="18.75" x14ac:dyDescent="0.3">
      <c r="A120" s="29" t="s">
        <v>57</v>
      </c>
      <c r="B120" s="10"/>
      <c r="C120" s="10"/>
      <c r="D120" s="10"/>
      <c r="E120" s="10"/>
      <c r="F120" s="10"/>
    </row>
    <row r="121" spans="1:10" ht="18.75" x14ac:dyDescent="0.3">
      <c r="A121" s="222" t="s">
        <v>44</v>
      </c>
      <c r="B121" s="222"/>
      <c r="C121" s="10"/>
      <c r="D121" s="10"/>
      <c r="E121" s="10"/>
      <c r="F121" s="10"/>
    </row>
    <row r="122" spans="1:10" ht="18.75" x14ac:dyDescent="0.25">
      <c r="A122" s="225" t="s">
        <v>192</v>
      </c>
      <c r="B122" s="225"/>
      <c r="C122" s="225"/>
      <c r="D122" s="225"/>
      <c r="E122" s="225"/>
      <c r="F122" s="225"/>
    </row>
    <row r="123" spans="1:10" ht="112.5" x14ac:dyDescent="0.25">
      <c r="A123" s="54" t="s">
        <v>69</v>
      </c>
      <c r="B123" s="58" t="s">
        <v>5</v>
      </c>
      <c r="C123" s="58" t="s">
        <v>5</v>
      </c>
      <c r="D123" s="5">
        <f t="shared" ref="D123:D124" si="17">E123+F123</f>
        <v>0</v>
      </c>
      <c r="E123" s="2"/>
      <c r="F123" s="4"/>
      <c r="H123" s="71" t="s">
        <v>230</v>
      </c>
      <c r="I123" s="71" t="s">
        <v>231</v>
      </c>
      <c r="J123" s="71" t="s">
        <v>232</v>
      </c>
    </row>
    <row r="124" spans="1:10" ht="18.75" x14ac:dyDescent="0.25">
      <c r="A124" s="54" t="s">
        <v>7</v>
      </c>
      <c r="B124" s="58" t="s">
        <v>5</v>
      </c>
      <c r="C124" s="58">
        <v>900</v>
      </c>
      <c r="D124" s="5">
        <f t="shared" si="17"/>
        <v>58279514.390000001</v>
      </c>
      <c r="E124" s="2">
        <f>E127+E159+E174+E206</f>
        <v>58279514.390000001</v>
      </c>
      <c r="F124" s="2">
        <f>F127+F159</f>
        <v>0</v>
      </c>
      <c r="H124" s="72">
        <f>E26+E27+E28+E30+E36+E54+E55+E56+E63+E66+E67+E69+E73+E74+E75+E76+E77+E78+E81+E82+E83+E85+E90</f>
        <v>72489923.700000003</v>
      </c>
      <c r="I124" s="72">
        <f>H124+D124</f>
        <v>130769438.09</v>
      </c>
      <c r="J124" s="72">
        <f>I124-E20</f>
        <v>-30244.850000008941</v>
      </c>
    </row>
    <row r="125" spans="1:10" ht="18.75" x14ac:dyDescent="0.25">
      <c r="A125" s="54" t="s">
        <v>6</v>
      </c>
      <c r="B125" s="58"/>
      <c r="C125" s="58"/>
      <c r="D125" s="5"/>
      <c r="E125" s="2"/>
      <c r="F125" s="4"/>
    </row>
    <row r="126" spans="1:10" ht="18.75" x14ac:dyDescent="0.25">
      <c r="A126" s="226" t="s">
        <v>200</v>
      </c>
      <c r="B126" s="227"/>
      <c r="C126" s="227"/>
      <c r="D126" s="227"/>
      <c r="E126" s="227"/>
      <c r="F126" s="228"/>
    </row>
    <row r="127" spans="1:10" ht="18.75" x14ac:dyDescent="0.25">
      <c r="A127" s="54" t="s">
        <v>8</v>
      </c>
      <c r="B127" s="58" t="s">
        <v>5</v>
      </c>
      <c r="C127" s="58">
        <v>200</v>
      </c>
      <c r="D127" s="5">
        <f t="shared" ref="D127:D163" si="18">E127+F127</f>
        <v>16601007.999999998</v>
      </c>
      <c r="E127" s="2">
        <f>E129+E132+E155</f>
        <v>16601007.999999998</v>
      </c>
      <c r="F127" s="2">
        <f>F129+F132+F155</f>
        <v>0</v>
      </c>
    </row>
    <row r="128" spans="1:10" ht="18.75" x14ac:dyDescent="0.25">
      <c r="A128" s="54" t="s">
        <v>9</v>
      </c>
      <c r="B128" s="58"/>
      <c r="C128" s="58"/>
      <c r="D128" s="5"/>
      <c r="E128" s="2"/>
      <c r="F128" s="2"/>
    </row>
    <row r="129" spans="1:6" ht="75" x14ac:dyDescent="0.25">
      <c r="A129" s="54" t="s">
        <v>10</v>
      </c>
      <c r="B129" s="58" t="s">
        <v>5</v>
      </c>
      <c r="C129" s="58">
        <v>210</v>
      </c>
      <c r="D129" s="5">
        <f t="shared" si="18"/>
        <v>0</v>
      </c>
      <c r="E129" s="2">
        <f>E131</f>
        <v>0</v>
      </c>
      <c r="F129" s="2">
        <f>F131</f>
        <v>0</v>
      </c>
    </row>
    <row r="130" spans="1:6" ht="18.75" x14ac:dyDescent="0.25">
      <c r="A130" s="54" t="s">
        <v>9</v>
      </c>
      <c r="B130" s="58"/>
      <c r="C130" s="58"/>
      <c r="D130" s="5"/>
      <c r="E130" s="2"/>
      <c r="F130" s="2"/>
    </row>
    <row r="131" spans="1:6" ht="93.75" x14ac:dyDescent="0.25">
      <c r="A131" s="54" t="s">
        <v>201</v>
      </c>
      <c r="B131" s="58">
        <v>244</v>
      </c>
      <c r="C131" s="58">
        <v>214</v>
      </c>
      <c r="D131" s="5">
        <f>E131+F131</f>
        <v>0</v>
      </c>
      <c r="E131" s="2"/>
      <c r="F131" s="2"/>
    </row>
    <row r="132" spans="1:6" ht="37.5" x14ac:dyDescent="0.25">
      <c r="A132" s="54" t="s">
        <v>14</v>
      </c>
      <c r="B132" s="58" t="s">
        <v>5</v>
      </c>
      <c r="C132" s="58">
        <v>220</v>
      </c>
      <c r="D132" s="5">
        <f t="shared" si="18"/>
        <v>16601007.999999998</v>
      </c>
      <c r="E132" s="2">
        <f>E134+E135+E136+E146+E147+E150+E153</f>
        <v>16601007.999999998</v>
      </c>
      <c r="F132" s="2">
        <f>F134+F135+F136+F146+F147+F150+F153</f>
        <v>0</v>
      </c>
    </row>
    <row r="133" spans="1:6" ht="18.75" x14ac:dyDescent="0.25">
      <c r="A133" s="54" t="s">
        <v>9</v>
      </c>
      <c r="B133" s="58"/>
      <c r="C133" s="58"/>
      <c r="D133" s="5"/>
      <c r="E133" s="2"/>
      <c r="F133" s="2"/>
    </row>
    <row r="134" spans="1:6" ht="18.75" x14ac:dyDescent="0.25">
      <c r="A134" s="54" t="s">
        <v>15</v>
      </c>
      <c r="B134" s="58">
        <v>244</v>
      </c>
      <c r="C134" s="58">
        <v>221</v>
      </c>
      <c r="D134" s="5">
        <f t="shared" si="18"/>
        <v>1389880</v>
      </c>
      <c r="E134" s="2">
        <f>2313000-923120</f>
        <v>1389880</v>
      </c>
      <c r="F134" s="2"/>
    </row>
    <row r="135" spans="1:6" ht="37.5" x14ac:dyDescent="0.25">
      <c r="A135" s="54" t="s">
        <v>16</v>
      </c>
      <c r="B135" s="58">
        <v>244</v>
      </c>
      <c r="C135" s="58">
        <v>222</v>
      </c>
      <c r="D135" s="5">
        <f t="shared" si="18"/>
        <v>0</v>
      </c>
      <c r="E135" s="2"/>
      <c r="F135" s="2"/>
    </row>
    <row r="136" spans="1:6" ht="37.5" x14ac:dyDescent="0.25">
      <c r="A136" s="54" t="s">
        <v>17</v>
      </c>
      <c r="B136" s="58" t="s">
        <v>5</v>
      </c>
      <c r="C136" s="58">
        <v>223</v>
      </c>
      <c r="D136" s="5">
        <f t="shared" si="18"/>
        <v>2</v>
      </c>
      <c r="E136" s="2">
        <f t="shared" ref="E136:F136" si="19">E138+E140+E142+E143+E144</f>
        <v>2</v>
      </c>
      <c r="F136" s="2">
        <f t="shared" si="19"/>
        <v>0</v>
      </c>
    </row>
    <row r="137" spans="1:6" ht="18.75" x14ac:dyDescent="0.25">
      <c r="A137" s="54" t="s">
        <v>6</v>
      </c>
      <c r="B137" s="58"/>
      <c r="C137" s="58"/>
      <c r="D137" s="5"/>
      <c r="E137" s="2"/>
      <c r="F137" s="2"/>
    </row>
    <row r="138" spans="1:6" ht="56.25" x14ac:dyDescent="0.25">
      <c r="A138" s="54" t="s">
        <v>18</v>
      </c>
      <c r="B138" s="58">
        <v>244</v>
      </c>
      <c r="C138" s="58">
        <v>223</v>
      </c>
      <c r="D138" s="5">
        <f t="shared" si="18"/>
        <v>0</v>
      </c>
      <c r="E138" s="2"/>
      <c r="F138" s="2"/>
    </row>
    <row r="139" spans="1:6" ht="37.5" x14ac:dyDescent="0.25">
      <c r="A139" s="201" t="s">
        <v>19</v>
      </c>
      <c r="B139" s="202">
        <v>244</v>
      </c>
      <c r="C139" s="202">
        <v>223</v>
      </c>
      <c r="D139" s="5">
        <f t="shared" ref="D139" si="20">E139+F139</f>
        <v>0</v>
      </c>
      <c r="E139" s="2">
        <v>0</v>
      </c>
      <c r="F139" s="2"/>
    </row>
    <row r="140" spans="1:6" ht="37.5" x14ac:dyDescent="0.25">
      <c r="A140" s="54" t="s">
        <v>19</v>
      </c>
      <c r="B140" s="58">
        <v>247</v>
      </c>
      <c r="C140" s="58">
        <v>223</v>
      </c>
      <c r="D140" s="5">
        <f t="shared" si="18"/>
        <v>0</v>
      </c>
      <c r="E140" s="2">
        <f>2002130.43-2002130.43</f>
        <v>0</v>
      </c>
      <c r="F140" s="2"/>
    </row>
    <row r="141" spans="1:6" ht="75" x14ac:dyDescent="0.25">
      <c r="A141" s="201" t="s">
        <v>20</v>
      </c>
      <c r="B141" s="202">
        <v>244</v>
      </c>
      <c r="C141" s="202">
        <v>223</v>
      </c>
      <c r="D141" s="5">
        <f t="shared" ref="D141" si="21">E141+F141</f>
        <v>0</v>
      </c>
      <c r="E141" s="2">
        <v>0</v>
      </c>
      <c r="F141" s="2"/>
    </row>
    <row r="142" spans="1:6" ht="75" x14ac:dyDescent="0.25">
      <c r="A142" s="54" t="s">
        <v>20</v>
      </c>
      <c r="B142" s="58">
        <v>247</v>
      </c>
      <c r="C142" s="58">
        <v>223</v>
      </c>
      <c r="D142" s="5">
        <f t="shared" si="18"/>
        <v>2</v>
      </c>
      <c r="E142" s="2">
        <f>17797082.5-17797080.5</f>
        <v>2</v>
      </c>
      <c r="F142" s="2"/>
    </row>
    <row r="143" spans="1:6" ht="75" x14ac:dyDescent="0.25">
      <c r="A143" s="54" t="s">
        <v>21</v>
      </c>
      <c r="B143" s="58">
        <v>244</v>
      </c>
      <c r="C143" s="58">
        <v>223</v>
      </c>
      <c r="D143" s="5">
        <f t="shared" si="18"/>
        <v>0</v>
      </c>
      <c r="E143" s="2">
        <f>702861.9-702861.9</f>
        <v>0</v>
      </c>
      <c r="F143" s="2"/>
    </row>
    <row r="144" spans="1:6" ht="56.25" x14ac:dyDescent="0.25">
      <c r="A144" s="54" t="s">
        <v>22</v>
      </c>
      <c r="B144" s="58">
        <v>244</v>
      </c>
      <c r="C144" s="58">
        <v>223</v>
      </c>
      <c r="D144" s="5">
        <f t="shared" si="18"/>
        <v>0</v>
      </c>
      <c r="E144" s="2">
        <f>192680.21-192680.21</f>
        <v>0</v>
      </c>
      <c r="F144" s="2"/>
    </row>
    <row r="145" spans="1:6" ht="56.25" x14ac:dyDescent="0.25">
      <c r="A145" s="195" t="s">
        <v>442</v>
      </c>
      <c r="B145" s="196">
        <v>244</v>
      </c>
      <c r="C145" s="196">
        <v>223</v>
      </c>
      <c r="D145" s="5">
        <f t="shared" ref="D145" si="22">E145+F145</f>
        <v>0</v>
      </c>
      <c r="E145" s="2">
        <v>0</v>
      </c>
      <c r="F145" s="2"/>
    </row>
    <row r="146" spans="1:6" ht="168.75" x14ac:dyDescent="0.25">
      <c r="A146" s="54" t="s">
        <v>23</v>
      </c>
      <c r="B146" s="58">
        <v>244</v>
      </c>
      <c r="C146" s="58">
        <v>224</v>
      </c>
      <c r="D146" s="5">
        <f t="shared" si="18"/>
        <v>0</v>
      </c>
      <c r="E146" s="2"/>
      <c r="F146" s="2"/>
    </row>
    <row r="147" spans="1:6" ht="56.25" x14ac:dyDescent="0.25">
      <c r="A147" s="54" t="s">
        <v>24</v>
      </c>
      <c r="B147" s="58" t="s">
        <v>5</v>
      </c>
      <c r="C147" s="58">
        <v>225</v>
      </c>
      <c r="D147" s="2">
        <f t="shared" ref="D147:F147" si="23">D148+D149</f>
        <v>8707959.9999999981</v>
      </c>
      <c r="E147" s="2">
        <f>E148+E149</f>
        <v>8707959.9999999981</v>
      </c>
      <c r="F147" s="2">
        <f t="shared" si="23"/>
        <v>0</v>
      </c>
    </row>
    <row r="148" spans="1:6" ht="18.75" x14ac:dyDescent="0.25">
      <c r="A148" s="221" t="s">
        <v>6</v>
      </c>
      <c r="B148" s="58">
        <v>243</v>
      </c>
      <c r="C148" s="58">
        <v>225</v>
      </c>
      <c r="D148" s="5">
        <f t="shared" si="18"/>
        <v>0</v>
      </c>
      <c r="E148" s="2"/>
      <c r="F148" s="2"/>
    </row>
    <row r="149" spans="1:6" ht="18.75" x14ac:dyDescent="0.25">
      <c r="A149" s="221"/>
      <c r="B149" s="58">
        <v>244</v>
      </c>
      <c r="C149" s="58">
        <v>225</v>
      </c>
      <c r="D149" s="5">
        <f t="shared" si="18"/>
        <v>8707959.9999999981</v>
      </c>
      <c r="E149" s="2">
        <f>24992701.13-15984441.13-300300</f>
        <v>8707959.9999999981</v>
      </c>
      <c r="F149" s="2"/>
    </row>
    <row r="150" spans="1:6" ht="37.5" x14ac:dyDescent="0.25">
      <c r="A150" s="54" t="s">
        <v>58</v>
      </c>
      <c r="B150" s="58" t="s">
        <v>5</v>
      </c>
      <c r="C150" s="58">
        <v>226</v>
      </c>
      <c r="D150" s="5">
        <f t="shared" si="18"/>
        <v>6503166</v>
      </c>
      <c r="E150" s="2">
        <f>E151+E152</f>
        <v>6503166</v>
      </c>
      <c r="F150" s="2">
        <f>F151+F152</f>
        <v>0</v>
      </c>
    </row>
    <row r="151" spans="1:6" ht="18.75" x14ac:dyDescent="0.25">
      <c r="A151" s="221" t="s">
        <v>6</v>
      </c>
      <c r="B151" s="58">
        <v>243</v>
      </c>
      <c r="C151" s="58">
        <v>226</v>
      </c>
      <c r="D151" s="5">
        <f t="shared" si="18"/>
        <v>0</v>
      </c>
      <c r="E151" s="2"/>
      <c r="F151" s="2"/>
    </row>
    <row r="152" spans="1:6" ht="18.75" x14ac:dyDescent="0.25">
      <c r="A152" s="221"/>
      <c r="B152" s="58">
        <v>244</v>
      </c>
      <c r="C152" s="58">
        <v>226</v>
      </c>
      <c r="D152" s="5">
        <f t="shared" si="18"/>
        <v>6503166</v>
      </c>
      <c r="E152" s="2">
        <f>6545600-14240-28194</f>
        <v>6503166</v>
      </c>
      <c r="F152" s="2"/>
    </row>
    <row r="153" spans="1:6" ht="18.75" x14ac:dyDescent="0.25">
      <c r="A153" s="54" t="s">
        <v>25</v>
      </c>
      <c r="B153" s="58">
        <v>244</v>
      </c>
      <c r="C153" s="58">
        <v>227</v>
      </c>
      <c r="D153" s="5">
        <f t="shared" si="18"/>
        <v>0</v>
      </c>
      <c r="E153" s="2"/>
      <c r="F153" s="2"/>
    </row>
    <row r="154" spans="1:6" ht="56.25" x14ac:dyDescent="0.25">
      <c r="A154" s="170" t="s">
        <v>345</v>
      </c>
      <c r="B154" s="171">
        <v>244</v>
      </c>
      <c r="C154" s="171">
        <v>228</v>
      </c>
      <c r="D154" s="5">
        <f t="shared" si="18"/>
        <v>0</v>
      </c>
      <c r="E154" s="2"/>
      <c r="F154" s="2"/>
    </row>
    <row r="155" spans="1:6" ht="18.75" x14ac:dyDescent="0.25">
      <c r="A155" s="54" t="s">
        <v>30</v>
      </c>
      <c r="B155" s="58" t="s">
        <v>5</v>
      </c>
      <c r="C155" s="58">
        <v>290</v>
      </c>
      <c r="D155" s="5">
        <f t="shared" si="18"/>
        <v>0</v>
      </c>
      <c r="E155" s="2">
        <f>E157+E158</f>
        <v>0</v>
      </c>
      <c r="F155" s="2">
        <f>F157+F158</f>
        <v>0</v>
      </c>
    </row>
    <row r="156" spans="1:6" ht="18.75" x14ac:dyDescent="0.25">
      <c r="A156" s="54" t="s">
        <v>9</v>
      </c>
      <c r="B156" s="58"/>
      <c r="C156" s="58"/>
      <c r="D156" s="5">
        <f t="shared" si="18"/>
        <v>0</v>
      </c>
      <c r="E156" s="2"/>
      <c r="F156" s="2"/>
    </row>
    <row r="157" spans="1:6" ht="56.25" x14ac:dyDescent="0.25">
      <c r="A157" s="54" t="s">
        <v>34</v>
      </c>
      <c r="B157" s="58">
        <v>244</v>
      </c>
      <c r="C157" s="58">
        <v>296</v>
      </c>
      <c r="D157" s="5">
        <f t="shared" si="18"/>
        <v>0</v>
      </c>
      <c r="E157" s="2"/>
      <c r="F157" s="2"/>
    </row>
    <row r="158" spans="1:6" ht="56.25" x14ac:dyDescent="0.25">
      <c r="A158" s="54" t="s">
        <v>35</v>
      </c>
      <c r="B158" s="58">
        <v>244</v>
      </c>
      <c r="C158" s="58">
        <v>297</v>
      </c>
      <c r="D158" s="5">
        <f t="shared" si="18"/>
        <v>0</v>
      </c>
      <c r="E158" s="2"/>
      <c r="F158" s="2"/>
    </row>
    <row r="159" spans="1:6" ht="56.25" x14ac:dyDescent="0.25">
      <c r="A159" s="54" t="s">
        <v>59</v>
      </c>
      <c r="B159" s="58" t="s">
        <v>5</v>
      </c>
      <c r="C159" s="58">
        <v>300</v>
      </c>
      <c r="D159" s="5">
        <f t="shared" si="18"/>
        <v>244800</v>
      </c>
      <c r="E159" s="2">
        <f>E161+E163+E162</f>
        <v>244800</v>
      </c>
      <c r="F159" s="2">
        <f>F161+F163+F162</f>
        <v>0</v>
      </c>
    </row>
    <row r="160" spans="1:6" ht="18.75" x14ac:dyDescent="0.25">
      <c r="A160" s="54" t="s">
        <v>9</v>
      </c>
      <c r="B160" s="58"/>
      <c r="C160" s="58"/>
      <c r="D160" s="5"/>
      <c r="E160" s="2"/>
      <c r="F160" s="2"/>
    </row>
    <row r="161" spans="1:6" ht="56.25" x14ac:dyDescent="0.25">
      <c r="A161" s="54" t="s">
        <v>36</v>
      </c>
      <c r="B161" s="58">
        <v>244</v>
      </c>
      <c r="C161" s="58">
        <v>310</v>
      </c>
      <c r="D161" s="5">
        <f t="shared" si="18"/>
        <v>0</v>
      </c>
      <c r="E161" s="2"/>
      <c r="F161" s="2"/>
    </row>
    <row r="162" spans="1:6" ht="75" x14ac:dyDescent="0.25">
      <c r="A162" s="54" t="s">
        <v>68</v>
      </c>
      <c r="B162" s="58">
        <v>244</v>
      </c>
      <c r="C162" s="58">
        <v>320</v>
      </c>
      <c r="D162" s="5">
        <f t="shared" si="18"/>
        <v>0</v>
      </c>
      <c r="E162" s="2"/>
      <c r="F162" s="2"/>
    </row>
    <row r="163" spans="1:6" ht="75" x14ac:dyDescent="0.25">
      <c r="A163" s="54" t="s">
        <v>60</v>
      </c>
      <c r="B163" s="58" t="s">
        <v>5</v>
      </c>
      <c r="C163" s="58">
        <v>340</v>
      </c>
      <c r="D163" s="5">
        <f t="shared" si="18"/>
        <v>244800</v>
      </c>
      <c r="E163" s="2">
        <f>E165+E166+E167+E168+E169+E170+E171+E172</f>
        <v>244800</v>
      </c>
      <c r="F163" s="2">
        <f>F165+F166+F167+F168+F169+F170+F172</f>
        <v>0</v>
      </c>
    </row>
    <row r="164" spans="1:6" ht="18.75" x14ac:dyDescent="0.25">
      <c r="A164" s="54" t="s">
        <v>6</v>
      </c>
      <c r="B164" s="58"/>
      <c r="C164" s="58"/>
      <c r="D164" s="5"/>
      <c r="E164" s="2"/>
      <c r="F164" s="2"/>
    </row>
    <row r="165" spans="1:6" ht="131.25" x14ac:dyDescent="0.25">
      <c r="A165" s="54" t="s">
        <v>37</v>
      </c>
      <c r="B165" s="58">
        <v>244</v>
      </c>
      <c r="C165" s="58">
        <v>341</v>
      </c>
      <c r="D165" s="5">
        <f t="shared" ref="D165:D172" si="24">E165+F165</f>
        <v>0</v>
      </c>
      <c r="E165" s="2"/>
      <c r="F165" s="2"/>
    </row>
    <row r="166" spans="1:6" ht="56.25" x14ac:dyDescent="0.25">
      <c r="A166" s="54" t="s">
        <v>38</v>
      </c>
      <c r="B166" s="58">
        <v>244</v>
      </c>
      <c r="C166" s="58">
        <v>342</v>
      </c>
      <c r="D166" s="5">
        <f t="shared" si="24"/>
        <v>0</v>
      </c>
      <c r="E166" s="2"/>
      <c r="F166" s="2"/>
    </row>
    <row r="167" spans="1:6" ht="75" x14ac:dyDescent="0.25">
      <c r="A167" s="54" t="s">
        <v>39</v>
      </c>
      <c r="B167" s="58">
        <v>244</v>
      </c>
      <c r="C167" s="58">
        <v>343</v>
      </c>
      <c r="D167" s="5">
        <f t="shared" si="24"/>
        <v>244800</v>
      </c>
      <c r="E167" s="2">
        <v>244800</v>
      </c>
      <c r="F167" s="2"/>
    </row>
    <row r="168" spans="1:6" ht="75" x14ac:dyDescent="0.25">
      <c r="A168" s="54" t="s">
        <v>40</v>
      </c>
      <c r="B168" s="58">
        <v>244</v>
      </c>
      <c r="C168" s="58">
        <v>344</v>
      </c>
      <c r="D168" s="5">
        <f t="shared" si="24"/>
        <v>0</v>
      </c>
      <c r="E168" s="2"/>
      <c r="F168" s="2"/>
    </row>
    <row r="169" spans="1:6" ht="56.25" x14ac:dyDescent="0.25">
      <c r="A169" s="54" t="s">
        <v>41</v>
      </c>
      <c r="B169" s="58">
        <v>244</v>
      </c>
      <c r="C169" s="58">
        <v>345</v>
      </c>
      <c r="D169" s="5">
        <f t="shared" si="24"/>
        <v>0</v>
      </c>
      <c r="E169" s="2"/>
      <c r="F169" s="2"/>
    </row>
    <row r="170" spans="1:6" ht="75" x14ac:dyDescent="0.25">
      <c r="A170" s="54" t="s">
        <v>42</v>
      </c>
      <c r="B170" s="58">
        <v>244</v>
      </c>
      <c r="C170" s="58">
        <v>346</v>
      </c>
      <c r="D170" s="5">
        <f>E170+F170</f>
        <v>0</v>
      </c>
      <c r="E170" s="2"/>
      <c r="F170" s="2"/>
    </row>
    <row r="171" spans="1:6" ht="112.5" x14ac:dyDescent="0.25">
      <c r="A171" s="170" t="s">
        <v>346</v>
      </c>
      <c r="B171" s="171">
        <v>244</v>
      </c>
      <c r="C171" s="171">
        <v>347</v>
      </c>
      <c r="D171" s="5">
        <f>E171+F171</f>
        <v>0</v>
      </c>
      <c r="E171" s="2"/>
      <c r="F171" s="2"/>
    </row>
    <row r="172" spans="1:6" ht="112.5" x14ac:dyDescent="0.25">
      <c r="A172" s="54" t="s">
        <v>43</v>
      </c>
      <c r="B172" s="58">
        <v>244</v>
      </c>
      <c r="C172" s="58">
        <v>349</v>
      </c>
      <c r="D172" s="5">
        <f t="shared" si="24"/>
        <v>0</v>
      </c>
      <c r="E172" s="2"/>
      <c r="F172" s="2"/>
    </row>
    <row r="173" spans="1:6" ht="18.75" x14ac:dyDescent="0.25">
      <c r="A173" s="226" t="s">
        <v>202</v>
      </c>
      <c r="B173" s="227"/>
      <c r="C173" s="227"/>
      <c r="D173" s="227"/>
      <c r="E173" s="227"/>
      <c r="F173" s="228"/>
    </row>
    <row r="174" spans="1:6" ht="18.75" x14ac:dyDescent="0.25">
      <c r="A174" s="54" t="s">
        <v>8</v>
      </c>
      <c r="B174" s="58" t="s">
        <v>5</v>
      </c>
      <c r="C174" s="58">
        <v>200</v>
      </c>
      <c r="D174" s="5">
        <f t="shared" ref="D174" si="25">E174+F174</f>
        <v>36805785.469999999</v>
      </c>
      <c r="E174" s="2">
        <f>E176+E179+E202</f>
        <v>36805785.469999999</v>
      </c>
      <c r="F174" s="2">
        <f>F176+F179+F202</f>
        <v>0</v>
      </c>
    </row>
    <row r="175" spans="1:6" ht="18.75" x14ac:dyDescent="0.25">
      <c r="A175" s="54" t="s">
        <v>9</v>
      </c>
      <c r="B175" s="58"/>
      <c r="C175" s="58"/>
      <c r="D175" s="5"/>
      <c r="E175" s="2"/>
      <c r="F175" s="2"/>
    </row>
    <row r="176" spans="1:6" ht="75" x14ac:dyDescent="0.25">
      <c r="A176" s="54" t="s">
        <v>10</v>
      </c>
      <c r="B176" s="58" t="s">
        <v>5</v>
      </c>
      <c r="C176" s="58">
        <v>210</v>
      </c>
      <c r="D176" s="5">
        <f t="shared" ref="D176" si="26">E176+F176</f>
        <v>0</v>
      </c>
      <c r="E176" s="2">
        <f>E178</f>
        <v>0</v>
      </c>
      <c r="F176" s="2">
        <f>F178</f>
        <v>0</v>
      </c>
    </row>
    <row r="177" spans="1:6" ht="18.75" x14ac:dyDescent="0.25">
      <c r="A177" s="54" t="s">
        <v>9</v>
      </c>
      <c r="B177" s="58"/>
      <c r="C177" s="58"/>
      <c r="D177" s="5"/>
      <c r="E177" s="2"/>
      <c r="F177" s="2"/>
    </row>
    <row r="178" spans="1:6" ht="93.75" x14ac:dyDescent="0.25">
      <c r="A178" s="54" t="s">
        <v>201</v>
      </c>
      <c r="B178" s="58">
        <v>244</v>
      </c>
      <c r="C178" s="58">
        <v>214</v>
      </c>
      <c r="D178" s="5">
        <f>E178+F178</f>
        <v>0</v>
      </c>
      <c r="E178" s="70">
        <f>E31-E131</f>
        <v>0</v>
      </c>
      <c r="F178" s="2"/>
    </row>
    <row r="179" spans="1:6" ht="37.5" x14ac:dyDescent="0.25">
      <c r="A179" s="54" t="s">
        <v>14</v>
      </c>
      <c r="B179" s="58" t="s">
        <v>5</v>
      </c>
      <c r="C179" s="58">
        <v>220</v>
      </c>
      <c r="D179" s="5">
        <f t="shared" ref="D179" si="27">E179+F179</f>
        <v>36805785.469999999</v>
      </c>
      <c r="E179" s="2">
        <f>E181+E182+E183+E193+E194+E197+E200</f>
        <v>36805785.469999999</v>
      </c>
      <c r="F179" s="2">
        <f>F181+F182+F183+F193+F194+F197+F200</f>
        <v>0</v>
      </c>
    </row>
    <row r="180" spans="1:6" ht="18.75" x14ac:dyDescent="0.25">
      <c r="A180" s="54" t="s">
        <v>9</v>
      </c>
      <c r="B180" s="58"/>
      <c r="C180" s="58"/>
      <c r="D180" s="5"/>
      <c r="E180" s="2"/>
      <c r="F180" s="2"/>
    </row>
    <row r="181" spans="1:6" ht="18.75" x14ac:dyDescent="0.25">
      <c r="A181" s="54" t="s">
        <v>15</v>
      </c>
      <c r="B181" s="58">
        <v>244</v>
      </c>
      <c r="C181" s="58">
        <v>221</v>
      </c>
      <c r="D181" s="5">
        <f t="shared" ref="D181:D183" si="28">E181+F181</f>
        <v>354913.31999999983</v>
      </c>
      <c r="E181" s="2">
        <f>E34-E134</f>
        <v>354913.31999999983</v>
      </c>
      <c r="F181" s="2"/>
    </row>
    <row r="182" spans="1:6" ht="37.5" x14ac:dyDescent="0.25">
      <c r="A182" s="54" t="s">
        <v>16</v>
      </c>
      <c r="B182" s="58">
        <v>244</v>
      </c>
      <c r="C182" s="58">
        <v>222</v>
      </c>
      <c r="D182" s="5">
        <f t="shared" si="28"/>
        <v>4000</v>
      </c>
      <c r="E182" s="70">
        <f>E37-E135</f>
        <v>4000</v>
      </c>
      <c r="F182" s="2"/>
    </row>
    <row r="183" spans="1:6" ht="37.5" x14ac:dyDescent="0.25">
      <c r="A183" s="54" t="s">
        <v>17</v>
      </c>
      <c r="B183" s="58" t="s">
        <v>5</v>
      </c>
      <c r="C183" s="58">
        <v>223</v>
      </c>
      <c r="D183" s="5">
        <f t="shared" si="28"/>
        <v>21411072.359999999</v>
      </c>
      <c r="E183" s="2">
        <f t="shared" ref="E183:F183" si="29">E185+E187+E189+E190+E191</f>
        <v>21411072.359999999</v>
      </c>
      <c r="F183" s="2">
        <f t="shared" si="29"/>
        <v>0</v>
      </c>
    </row>
    <row r="184" spans="1:6" ht="18.75" x14ac:dyDescent="0.25">
      <c r="A184" s="54" t="s">
        <v>6</v>
      </c>
      <c r="B184" s="58"/>
      <c r="C184" s="58"/>
      <c r="D184" s="5"/>
      <c r="E184" s="2"/>
      <c r="F184" s="2"/>
    </row>
    <row r="185" spans="1:6" ht="56.25" x14ac:dyDescent="0.25">
      <c r="A185" s="54" t="s">
        <v>18</v>
      </c>
      <c r="B185" s="58">
        <v>244</v>
      </c>
      <c r="C185" s="58">
        <v>223</v>
      </c>
      <c r="D185" s="5">
        <f t="shared" ref="D185:D193" si="30">E185+F185</f>
        <v>0</v>
      </c>
      <c r="E185" s="2">
        <f>E41-E138</f>
        <v>0</v>
      </c>
      <c r="F185" s="2"/>
    </row>
    <row r="186" spans="1:6" ht="37.5" x14ac:dyDescent="0.25">
      <c r="A186" s="201" t="s">
        <v>19</v>
      </c>
      <c r="B186" s="202">
        <v>244</v>
      </c>
      <c r="C186" s="202">
        <v>223</v>
      </c>
      <c r="D186" s="5">
        <f t="shared" ref="D186" si="31">E186+F186</f>
        <v>0</v>
      </c>
      <c r="E186" s="2">
        <f>E42-E139</f>
        <v>0</v>
      </c>
      <c r="F186" s="2"/>
    </row>
    <row r="187" spans="1:6" ht="37.5" x14ac:dyDescent="0.25">
      <c r="A187" s="54" t="s">
        <v>19</v>
      </c>
      <c r="B187" s="58">
        <v>247</v>
      </c>
      <c r="C187" s="58">
        <v>223</v>
      </c>
      <c r="D187" s="5">
        <f t="shared" si="30"/>
        <v>2718701.82</v>
      </c>
      <c r="E187" s="2">
        <f>E43-E140</f>
        <v>2718701.82</v>
      </c>
      <c r="F187" s="2"/>
    </row>
    <row r="188" spans="1:6" ht="75" x14ac:dyDescent="0.25">
      <c r="A188" s="201" t="s">
        <v>20</v>
      </c>
      <c r="B188" s="202">
        <v>244</v>
      </c>
      <c r="C188" s="202">
        <v>223</v>
      </c>
      <c r="D188" s="5">
        <f t="shared" ref="D188" si="32">E188+F188</f>
        <v>0</v>
      </c>
      <c r="E188" s="2">
        <f>E44-E141</f>
        <v>0</v>
      </c>
      <c r="F188" s="2"/>
    </row>
    <row r="189" spans="1:6" ht="75" x14ac:dyDescent="0.25">
      <c r="A189" s="54" t="s">
        <v>20</v>
      </c>
      <c r="B189" s="58">
        <v>247</v>
      </c>
      <c r="C189" s="58">
        <v>223</v>
      </c>
      <c r="D189" s="5">
        <f t="shared" si="30"/>
        <v>18009143.140000001</v>
      </c>
      <c r="E189" s="2">
        <f>E45-E142</f>
        <v>18009143.140000001</v>
      </c>
      <c r="F189" s="2"/>
    </row>
    <row r="190" spans="1:6" ht="75" x14ac:dyDescent="0.25">
      <c r="A190" s="54" t="s">
        <v>21</v>
      </c>
      <c r="B190" s="58">
        <v>244</v>
      </c>
      <c r="C190" s="58">
        <v>223</v>
      </c>
      <c r="D190" s="5">
        <f t="shared" si="30"/>
        <v>522038.00000000023</v>
      </c>
      <c r="E190" s="2">
        <f>E46-E143</f>
        <v>522038.00000000023</v>
      </c>
      <c r="F190" s="2"/>
    </row>
    <row r="191" spans="1:6" ht="56.25" x14ac:dyDescent="0.25">
      <c r="A191" s="54" t="s">
        <v>22</v>
      </c>
      <c r="B191" s="58">
        <v>244</v>
      </c>
      <c r="C191" s="58">
        <v>223</v>
      </c>
      <c r="D191" s="5">
        <f t="shared" si="30"/>
        <v>161189.39999999997</v>
      </c>
      <c r="E191" s="2">
        <f>E47-E144</f>
        <v>161189.39999999997</v>
      </c>
      <c r="F191" s="2"/>
    </row>
    <row r="192" spans="1:6" ht="56.25" x14ac:dyDescent="0.25">
      <c r="A192" s="195" t="s">
        <v>442</v>
      </c>
      <c r="B192" s="196">
        <v>244</v>
      </c>
      <c r="C192" s="196">
        <v>223</v>
      </c>
      <c r="D192" s="5">
        <f t="shared" ref="D192" si="33">E192+F192</f>
        <v>30244.85</v>
      </c>
      <c r="E192" s="2">
        <f>E48-E145</f>
        <v>30244.85</v>
      </c>
      <c r="F192" s="2"/>
    </row>
    <row r="193" spans="1:6" ht="168.75" x14ac:dyDescent="0.25">
      <c r="A193" s="54" t="s">
        <v>23</v>
      </c>
      <c r="B193" s="58">
        <v>244</v>
      </c>
      <c r="C193" s="58">
        <v>224</v>
      </c>
      <c r="D193" s="5">
        <f t="shared" si="30"/>
        <v>0</v>
      </c>
      <c r="E193" s="2">
        <f>E49-E146</f>
        <v>0</v>
      </c>
      <c r="F193" s="2"/>
    </row>
    <row r="194" spans="1:6" ht="56.25" x14ac:dyDescent="0.25">
      <c r="A194" s="54" t="s">
        <v>24</v>
      </c>
      <c r="B194" s="58" t="s">
        <v>5</v>
      </c>
      <c r="C194" s="58">
        <v>225</v>
      </c>
      <c r="D194" s="2">
        <f t="shared" ref="D194" si="34">D195+D196</f>
        <v>13011930.530000003</v>
      </c>
      <c r="E194" s="2">
        <f>E195+E196</f>
        <v>13011930.530000003</v>
      </c>
      <c r="F194" s="2">
        <f t="shared" ref="F194" si="35">F195+F196</f>
        <v>0</v>
      </c>
    </row>
    <row r="195" spans="1:6" ht="18.75" x14ac:dyDescent="0.25">
      <c r="A195" s="221" t="s">
        <v>6</v>
      </c>
      <c r="B195" s="58">
        <v>243</v>
      </c>
      <c r="C195" s="58">
        <v>225</v>
      </c>
      <c r="D195" s="5">
        <f t="shared" ref="D195:D206" si="36">E195+F195</f>
        <v>0</v>
      </c>
      <c r="E195" s="2">
        <f>E51-E148</f>
        <v>0</v>
      </c>
      <c r="F195" s="2"/>
    </row>
    <row r="196" spans="1:6" ht="18.75" x14ac:dyDescent="0.25">
      <c r="A196" s="221"/>
      <c r="B196" s="58">
        <v>244</v>
      </c>
      <c r="C196" s="58">
        <v>225</v>
      </c>
      <c r="D196" s="5">
        <f t="shared" si="36"/>
        <v>13011930.530000003</v>
      </c>
      <c r="E196" s="2">
        <f>E52-E149</f>
        <v>13011930.530000003</v>
      </c>
      <c r="F196" s="2"/>
    </row>
    <row r="197" spans="1:6" ht="37.5" x14ac:dyDescent="0.25">
      <c r="A197" s="54" t="s">
        <v>58</v>
      </c>
      <c r="B197" s="58" t="s">
        <v>5</v>
      </c>
      <c r="C197" s="58">
        <v>226</v>
      </c>
      <c r="D197" s="5">
        <f t="shared" si="36"/>
        <v>2007401.6399999987</v>
      </c>
      <c r="E197" s="2">
        <f>E198+E199</f>
        <v>2007401.6399999987</v>
      </c>
      <c r="F197" s="2">
        <f>F198+F199</f>
        <v>0</v>
      </c>
    </row>
    <row r="198" spans="1:6" ht="18.75" x14ac:dyDescent="0.25">
      <c r="A198" s="221" t="s">
        <v>6</v>
      </c>
      <c r="B198" s="58">
        <v>243</v>
      </c>
      <c r="C198" s="58">
        <v>226</v>
      </c>
      <c r="D198" s="5">
        <f t="shared" si="36"/>
        <v>0</v>
      </c>
      <c r="E198" s="2">
        <f>E57-E151</f>
        <v>0</v>
      </c>
      <c r="F198" s="2"/>
    </row>
    <row r="199" spans="1:6" ht="18.75" x14ac:dyDescent="0.25">
      <c r="A199" s="221"/>
      <c r="B199" s="58">
        <v>244</v>
      </c>
      <c r="C199" s="58">
        <v>226</v>
      </c>
      <c r="D199" s="5">
        <f t="shared" si="36"/>
        <v>2007401.6399999987</v>
      </c>
      <c r="E199" s="2">
        <f>E58-E152</f>
        <v>2007401.6399999987</v>
      </c>
      <c r="F199" s="2"/>
    </row>
    <row r="200" spans="1:6" ht="18.75" x14ac:dyDescent="0.25">
      <c r="A200" s="54" t="s">
        <v>25</v>
      </c>
      <c r="B200" s="58">
        <v>244</v>
      </c>
      <c r="C200" s="58">
        <v>227</v>
      </c>
      <c r="D200" s="5">
        <f t="shared" si="36"/>
        <v>16467.62</v>
      </c>
      <c r="E200" s="2">
        <f>E59-E153</f>
        <v>16467.62</v>
      </c>
      <c r="F200" s="2"/>
    </row>
    <row r="201" spans="1:6" ht="56.25" x14ac:dyDescent="0.25">
      <c r="A201" s="170" t="s">
        <v>345</v>
      </c>
      <c r="B201" s="171">
        <v>244</v>
      </c>
      <c r="C201" s="171">
        <v>228</v>
      </c>
      <c r="D201" s="5">
        <f t="shared" si="36"/>
        <v>0</v>
      </c>
      <c r="E201" s="2">
        <f>E60-E154</f>
        <v>0</v>
      </c>
      <c r="F201" s="2"/>
    </row>
    <row r="202" spans="1:6" ht="18.75" x14ac:dyDescent="0.25">
      <c r="A202" s="54" t="s">
        <v>30</v>
      </c>
      <c r="B202" s="58" t="s">
        <v>5</v>
      </c>
      <c r="C202" s="58">
        <v>290</v>
      </c>
      <c r="D202" s="5">
        <f t="shared" si="36"/>
        <v>0</v>
      </c>
      <c r="E202" s="2">
        <f>E204+E205</f>
        <v>0</v>
      </c>
      <c r="F202" s="2">
        <f>F204+F205</f>
        <v>0</v>
      </c>
    </row>
    <row r="203" spans="1:6" ht="18.75" x14ac:dyDescent="0.25">
      <c r="A203" s="54" t="s">
        <v>9</v>
      </c>
      <c r="B203" s="58"/>
      <c r="C203" s="58"/>
      <c r="D203" s="5">
        <f t="shared" si="36"/>
        <v>0</v>
      </c>
      <c r="E203" s="2"/>
      <c r="F203" s="2"/>
    </row>
    <row r="204" spans="1:6" ht="56.25" x14ac:dyDescent="0.25">
      <c r="A204" s="54" t="s">
        <v>34</v>
      </c>
      <c r="B204" s="58">
        <v>244</v>
      </c>
      <c r="C204" s="58">
        <v>296</v>
      </c>
      <c r="D204" s="5">
        <f t="shared" si="36"/>
        <v>0</v>
      </c>
      <c r="E204" s="2">
        <f>E80-E157</f>
        <v>0</v>
      </c>
      <c r="F204" s="2"/>
    </row>
    <row r="205" spans="1:6" ht="56.25" x14ac:dyDescent="0.25">
      <c r="A205" s="54" t="s">
        <v>35</v>
      </c>
      <c r="B205" s="58">
        <v>244</v>
      </c>
      <c r="C205" s="58">
        <v>297</v>
      </c>
      <c r="D205" s="5">
        <f t="shared" si="36"/>
        <v>0</v>
      </c>
      <c r="E205" s="2">
        <f>E87-E158</f>
        <v>0</v>
      </c>
      <c r="F205" s="2"/>
    </row>
    <row r="206" spans="1:6" ht="56.25" x14ac:dyDescent="0.25">
      <c r="A206" s="54" t="s">
        <v>59</v>
      </c>
      <c r="B206" s="58" t="s">
        <v>5</v>
      </c>
      <c r="C206" s="58">
        <v>300</v>
      </c>
      <c r="D206" s="5">
        <f t="shared" si="36"/>
        <v>4627920.919999999</v>
      </c>
      <c r="E206" s="2">
        <f>E208+E210+E209</f>
        <v>4627920.919999999</v>
      </c>
      <c r="F206" s="2">
        <f>F208+F210+F209</f>
        <v>0</v>
      </c>
    </row>
    <row r="207" spans="1:6" ht="18.75" x14ac:dyDescent="0.25">
      <c r="A207" s="54" t="s">
        <v>9</v>
      </c>
      <c r="B207" s="58"/>
      <c r="C207" s="58"/>
      <c r="D207" s="5"/>
      <c r="E207" s="2"/>
      <c r="F207" s="2"/>
    </row>
    <row r="208" spans="1:6" ht="56.25" x14ac:dyDescent="0.25">
      <c r="A208" s="54" t="s">
        <v>36</v>
      </c>
      <c r="B208" s="58">
        <v>244</v>
      </c>
      <c r="C208" s="58">
        <v>310</v>
      </c>
      <c r="D208" s="5">
        <f t="shared" ref="D208:D210" si="37">E208+F208</f>
        <v>0</v>
      </c>
      <c r="E208" s="2">
        <f>E93-E161</f>
        <v>0</v>
      </c>
      <c r="F208" s="2"/>
    </row>
    <row r="209" spans="1:6" ht="75" x14ac:dyDescent="0.25">
      <c r="A209" s="54" t="s">
        <v>68</v>
      </c>
      <c r="B209" s="58">
        <v>244</v>
      </c>
      <c r="C209" s="58">
        <v>320</v>
      </c>
      <c r="D209" s="5">
        <f t="shared" si="37"/>
        <v>0</v>
      </c>
      <c r="E209" s="2">
        <f>E94-E162</f>
        <v>0</v>
      </c>
      <c r="F209" s="2"/>
    </row>
    <row r="210" spans="1:6" ht="75" x14ac:dyDescent="0.25">
      <c r="A210" s="54" t="s">
        <v>60</v>
      </c>
      <c r="B210" s="58" t="s">
        <v>5</v>
      </c>
      <c r="C210" s="58">
        <v>340</v>
      </c>
      <c r="D210" s="5">
        <f t="shared" si="37"/>
        <v>4627920.919999999</v>
      </c>
      <c r="E210" s="2">
        <f>E212+E213+E214+E215+E216+E217+E218+E219</f>
        <v>4627920.919999999</v>
      </c>
      <c r="F210" s="2">
        <f>F212+F213+F214+F215+F216+F217+F219</f>
        <v>0</v>
      </c>
    </row>
    <row r="211" spans="1:6" ht="18.75" x14ac:dyDescent="0.25">
      <c r="A211" s="54" t="s">
        <v>6</v>
      </c>
      <c r="B211" s="58"/>
      <c r="C211" s="58"/>
      <c r="D211" s="5"/>
      <c r="E211" s="2"/>
      <c r="F211" s="2"/>
    </row>
    <row r="212" spans="1:6" ht="131.25" x14ac:dyDescent="0.25">
      <c r="A212" s="54" t="s">
        <v>37</v>
      </c>
      <c r="B212" s="58">
        <v>244</v>
      </c>
      <c r="C212" s="58">
        <v>341</v>
      </c>
      <c r="D212" s="5">
        <f t="shared" ref="D212:D219" si="38">E212+F212</f>
        <v>0</v>
      </c>
      <c r="E212" s="2">
        <f t="shared" ref="E212:E218" si="39">E97-E165</f>
        <v>0</v>
      </c>
      <c r="F212" s="2"/>
    </row>
    <row r="213" spans="1:6" ht="56.25" x14ac:dyDescent="0.25">
      <c r="A213" s="54" t="s">
        <v>38</v>
      </c>
      <c r="B213" s="58">
        <v>244</v>
      </c>
      <c r="C213" s="58">
        <v>342</v>
      </c>
      <c r="D213" s="5">
        <f t="shared" si="38"/>
        <v>0</v>
      </c>
      <c r="E213" s="2">
        <f t="shared" si="39"/>
        <v>0</v>
      </c>
      <c r="F213" s="2"/>
    </row>
    <row r="214" spans="1:6" ht="75" x14ac:dyDescent="0.25">
      <c r="A214" s="54" t="s">
        <v>39</v>
      </c>
      <c r="B214" s="58">
        <v>244</v>
      </c>
      <c r="C214" s="58">
        <v>343</v>
      </c>
      <c r="D214" s="5">
        <f t="shared" si="38"/>
        <v>0</v>
      </c>
      <c r="E214" s="2">
        <f t="shared" si="39"/>
        <v>0</v>
      </c>
      <c r="F214" s="2"/>
    </row>
    <row r="215" spans="1:6" ht="75" x14ac:dyDescent="0.25">
      <c r="A215" s="54" t="s">
        <v>40</v>
      </c>
      <c r="B215" s="58">
        <v>244</v>
      </c>
      <c r="C215" s="58">
        <v>344</v>
      </c>
      <c r="D215" s="5">
        <f t="shared" si="38"/>
        <v>224794.3</v>
      </c>
      <c r="E215" s="2">
        <f t="shared" si="39"/>
        <v>224794.3</v>
      </c>
      <c r="F215" s="2"/>
    </row>
    <row r="216" spans="1:6" ht="56.25" x14ac:dyDescent="0.25">
      <c r="A216" s="54" t="s">
        <v>41</v>
      </c>
      <c r="B216" s="58">
        <v>244</v>
      </c>
      <c r="C216" s="58">
        <v>345</v>
      </c>
      <c r="D216" s="5">
        <f t="shared" si="38"/>
        <v>600000</v>
      </c>
      <c r="E216" s="2">
        <f t="shared" si="39"/>
        <v>600000</v>
      </c>
      <c r="F216" s="2"/>
    </row>
    <row r="217" spans="1:6" ht="75" x14ac:dyDescent="0.25">
      <c r="A217" s="54" t="s">
        <v>42</v>
      </c>
      <c r="B217" s="58">
        <v>244</v>
      </c>
      <c r="C217" s="58">
        <v>346</v>
      </c>
      <c r="D217" s="5">
        <f>E217+F217</f>
        <v>3653126.6199999992</v>
      </c>
      <c r="E217" s="2">
        <f t="shared" si="39"/>
        <v>3653126.6199999992</v>
      </c>
      <c r="F217" s="2"/>
    </row>
    <row r="218" spans="1:6" ht="112.5" x14ac:dyDescent="0.25">
      <c r="A218" s="170" t="s">
        <v>346</v>
      </c>
      <c r="B218" s="171">
        <v>244</v>
      </c>
      <c r="C218" s="171">
        <v>347</v>
      </c>
      <c r="D218" s="5">
        <f>E218+F218</f>
        <v>0</v>
      </c>
      <c r="E218" s="2">
        <f t="shared" si="39"/>
        <v>0</v>
      </c>
      <c r="F218" s="2"/>
    </row>
    <row r="219" spans="1:6" ht="112.5" x14ac:dyDescent="0.25">
      <c r="A219" s="54" t="s">
        <v>43</v>
      </c>
      <c r="B219" s="58">
        <v>244</v>
      </c>
      <c r="C219" s="58">
        <v>349</v>
      </c>
      <c r="D219" s="5">
        <f t="shared" si="38"/>
        <v>150000</v>
      </c>
      <c r="E219" s="2">
        <f t="shared" ref="E219" si="40">E104-E172</f>
        <v>150000</v>
      </c>
      <c r="F219" s="2"/>
    </row>
  </sheetData>
  <mergeCells count="35">
    <mergeCell ref="D5:D6"/>
    <mergeCell ref="E5:F5"/>
    <mergeCell ref="A1:F1"/>
    <mergeCell ref="A2:F2"/>
    <mergeCell ref="A80:A85"/>
    <mergeCell ref="A87:A90"/>
    <mergeCell ref="B112:C112"/>
    <mergeCell ref="A5:A6"/>
    <mergeCell ref="B5:B6"/>
    <mergeCell ref="C5:C6"/>
    <mergeCell ref="A36:A37"/>
    <mergeCell ref="A51:A52"/>
    <mergeCell ref="A54:A58"/>
    <mergeCell ref="A66:A67"/>
    <mergeCell ref="A73:A75"/>
    <mergeCell ref="A30:A31"/>
    <mergeCell ref="E112:F112"/>
    <mergeCell ref="B113:C113"/>
    <mergeCell ref="E113:F113"/>
    <mergeCell ref="B115:C115"/>
    <mergeCell ref="E115:F115"/>
    <mergeCell ref="A195:A196"/>
    <mergeCell ref="A198:A199"/>
    <mergeCell ref="A121:B121"/>
    <mergeCell ref="B116:C116"/>
    <mergeCell ref="E116:F116"/>
    <mergeCell ref="B118:C118"/>
    <mergeCell ref="E118:F118"/>
    <mergeCell ref="B119:C119"/>
    <mergeCell ref="E119:F119"/>
    <mergeCell ref="A122:F122"/>
    <mergeCell ref="A126:F126"/>
    <mergeCell ref="A148:A149"/>
    <mergeCell ref="A151:A152"/>
    <mergeCell ref="A173:F173"/>
  </mergeCells>
  <pageMargins left="1.3779527559055118" right="0.39370078740157483" top="0.98425196850393704" bottom="0.78740157480314965" header="0.31496062992125984" footer="0.31496062992125984"/>
  <pageSetup paperSize="9" scale="65" orientation="portrait" r:id="rId1"/>
  <rowBreaks count="5" manualBreakCount="5">
    <brk id="18" max="5" man="1"/>
    <brk id="43" max="5" man="1"/>
    <brk id="63" max="5" man="1"/>
    <brk id="80" max="5" man="1"/>
    <brk id="103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15"/>
  <sheetViews>
    <sheetView view="pageBreakPreview" topLeftCell="A52" zoomScale="85" zoomScaleNormal="85" zoomScaleSheetLayoutView="85" workbookViewId="0">
      <selection activeCell="H62" sqref="H62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10" width="20.42578125" style="7" customWidth="1"/>
    <col min="11" max="11" width="12.85546875" style="7" customWidth="1"/>
    <col min="12" max="12" width="19.85546875" style="7" customWidth="1"/>
    <col min="13" max="13" width="10.140625" style="7" customWidth="1"/>
    <col min="14" max="14" width="16.85546875" style="7" customWidth="1"/>
    <col min="15" max="15" width="17" style="7" customWidth="1"/>
    <col min="16" max="16384" width="8.85546875" style="7"/>
  </cols>
  <sheetData>
    <row r="1" spans="1:12" ht="18.75" x14ac:dyDescent="0.25">
      <c r="A1" s="237" t="s">
        <v>264</v>
      </c>
      <c r="B1" s="237"/>
      <c r="C1" s="237"/>
      <c r="D1" s="237"/>
      <c r="E1" s="237"/>
      <c r="F1" s="237"/>
      <c r="G1" s="237"/>
      <c r="H1" s="237"/>
      <c r="I1" s="237"/>
      <c r="J1" s="118"/>
      <c r="K1" s="118"/>
      <c r="L1" s="118"/>
    </row>
    <row r="2" spans="1:12" ht="18.75" x14ac:dyDescent="0.25">
      <c r="A2" s="237" t="s">
        <v>460</v>
      </c>
      <c r="B2" s="237"/>
      <c r="C2" s="237"/>
      <c r="D2" s="237"/>
      <c r="E2" s="237"/>
      <c r="F2" s="237"/>
      <c r="G2" s="237"/>
      <c r="H2" s="237"/>
      <c r="I2" s="237"/>
      <c r="J2" s="118"/>
      <c r="K2" s="118"/>
      <c r="L2" s="118"/>
    </row>
    <row r="3" spans="1:12" x14ac:dyDescent="0.25">
      <c r="A3" s="30"/>
    </row>
    <row r="4" spans="1:12" ht="19.5" thickBot="1" x14ac:dyDescent="0.3">
      <c r="A4" s="6"/>
      <c r="F4" s="6"/>
      <c r="I4" s="6" t="s">
        <v>51</v>
      </c>
      <c r="J4" s="6"/>
      <c r="K4" s="6"/>
      <c r="L4" s="6"/>
    </row>
    <row r="5" spans="1:12" ht="18.600000000000001" customHeight="1" x14ac:dyDescent="0.25">
      <c r="A5" s="229" t="s">
        <v>0</v>
      </c>
      <c r="B5" s="231" t="s">
        <v>45</v>
      </c>
      <c r="C5" s="233" t="s">
        <v>46</v>
      </c>
      <c r="D5" s="231" t="s">
        <v>1</v>
      </c>
      <c r="E5" s="231" t="s">
        <v>390</v>
      </c>
      <c r="F5" s="231"/>
      <c r="G5" s="231" t="s">
        <v>1</v>
      </c>
      <c r="H5" s="231" t="s">
        <v>461</v>
      </c>
      <c r="I5" s="231"/>
      <c r="J5" s="73"/>
      <c r="K5" s="73"/>
      <c r="L5" s="73"/>
    </row>
    <row r="6" spans="1:12" ht="95.25" thickBot="1" x14ac:dyDescent="0.3">
      <c r="A6" s="230"/>
      <c r="B6" s="232"/>
      <c r="C6" s="234"/>
      <c r="D6" s="232"/>
      <c r="E6" s="117" t="s">
        <v>3</v>
      </c>
      <c r="F6" s="117" t="s">
        <v>4</v>
      </c>
      <c r="G6" s="232"/>
      <c r="H6" s="117" t="s">
        <v>3</v>
      </c>
      <c r="I6" s="38" t="s">
        <v>4</v>
      </c>
      <c r="J6" s="73"/>
      <c r="K6" s="73"/>
      <c r="L6" s="73"/>
    </row>
    <row r="7" spans="1:12" ht="15.75" thickBot="1" x14ac:dyDescent="0.3">
      <c r="A7" s="43">
        <v>1</v>
      </c>
      <c r="B7" s="44">
        <v>2</v>
      </c>
      <c r="C7" s="44">
        <v>3</v>
      </c>
      <c r="D7" s="44">
        <v>4</v>
      </c>
      <c r="E7" s="44">
        <v>5</v>
      </c>
      <c r="F7" s="44">
        <v>6</v>
      </c>
      <c r="G7" s="44">
        <v>7</v>
      </c>
      <c r="H7" s="44">
        <v>8</v>
      </c>
      <c r="I7" s="45">
        <v>9</v>
      </c>
      <c r="J7" s="74"/>
      <c r="K7" s="74"/>
      <c r="L7" s="74"/>
    </row>
    <row r="8" spans="1:12" ht="56.25" x14ac:dyDescent="0.25">
      <c r="A8" s="39" t="s">
        <v>47</v>
      </c>
      <c r="B8" s="40" t="s">
        <v>5</v>
      </c>
      <c r="C8" s="40" t="s">
        <v>5</v>
      </c>
      <c r="D8" s="41">
        <f>E8+F8</f>
        <v>0</v>
      </c>
      <c r="E8" s="41">
        <v>0</v>
      </c>
      <c r="F8" s="41">
        <v>0</v>
      </c>
      <c r="G8" s="41">
        <f>H8+I8</f>
        <v>0</v>
      </c>
      <c r="H8" s="41">
        <v>0</v>
      </c>
      <c r="I8" s="42">
        <v>0</v>
      </c>
      <c r="J8" s="75"/>
      <c r="K8" s="75"/>
      <c r="L8" s="75"/>
    </row>
    <row r="9" spans="1:12" ht="56.25" x14ac:dyDescent="0.25">
      <c r="A9" s="115" t="s">
        <v>48</v>
      </c>
      <c r="B9" s="119" t="s">
        <v>5</v>
      </c>
      <c r="C9" s="119" t="s">
        <v>5</v>
      </c>
      <c r="D9" s="5">
        <f t="shared" ref="D9:D83" si="0">E9+F9</f>
        <v>2.9802322387695313E-8</v>
      </c>
      <c r="E9" s="5">
        <f>E8+E10-E20+E105</f>
        <v>2.9802322387695313E-8</v>
      </c>
      <c r="F9" s="5">
        <f>F8+F10-F20+F105</f>
        <v>0</v>
      </c>
      <c r="G9" s="5">
        <f t="shared" ref="G9:G10" si="1">H9+I9</f>
        <v>2.9802322387695313E-8</v>
      </c>
      <c r="H9" s="5">
        <f>H8+H10-H20+H105</f>
        <v>2.9802322387695313E-8</v>
      </c>
      <c r="I9" s="5">
        <f>I8+I10-I20+I105</f>
        <v>0</v>
      </c>
      <c r="J9" s="75"/>
      <c r="K9" s="75"/>
      <c r="L9" s="75"/>
    </row>
    <row r="10" spans="1:12" ht="18.75" x14ac:dyDescent="0.25">
      <c r="A10" s="115" t="s">
        <v>49</v>
      </c>
      <c r="B10" s="119" t="s">
        <v>5</v>
      </c>
      <c r="C10" s="119" t="s">
        <v>5</v>
      </c>
      <c r="D10" s="5">
        <f t="shared" si="0"/>
        <v>164609021.74000001</v>
      </c>
      <c r="E10" s="2">
        <f>E12+E16</f>
        <v>164609021.74000001</v>
      </c>
      <c r="F10" s="2">
        <f>F12+F16+F100</f>
        <v>0</v>
      </c>
      <c r="G10" s="5">
        <f t="shared" si="1"/>
        <v>164609021.74000001</v>
      </c>
      <c r="H10" s="2">
        <f>H12+H16</f>
        <v>164609021.74000001</v>
      </c>
      <c r="I10" s="4">
        <f>I12+I16+I100</f>
        <v>0</v>
      </c>
      <c r="J10" s="36"/>
      <c r="K10" s="36"/>
      <c r="L10" s="36"/>
    </row>
    <row r="11" spans="1:12" ht="18.75" x14ac:dyDescent="0.25">
      <c r="A11" s="115" t="s">
        <v>6</v>
      </c>
      <c r="B11" s="119"/>
      <c r="C11" s="119"/>
      <c r="D11" s="5"/>
      <c r="E11" s="2"/>
      <c r="F11" s="2"/>
      <c r="G11" s="5"/>
      <c r="H11" s="2"/>
      <c r="I11" s="4"/>
      <c r="J11" s="36"/>
      <c r="K11" s="36"/>
      <c r="L11" s="36"/>
    </row>
    <row r="12" spans="1:12" ht="93.75" x14ac:dyDescent="0.25">
      <c r="A12" s="115" t="s">
        <v>477</v>
      </c>
      <c r="B12" s="119">
        <v>130</v>
      </c>
      <c r="C12" s="119" t="s">
        <v>5</v>
      </c>
      <c r="D12" s="5">
        <f t="shared" si="0"/>
        <v>164609021.74000001</v>
      </c>
      <c r="E12" s="2">
        <v>164609021.74000001</v>
      </c>
      <c r="F12" s="2">
        <v>0</v>
      </c>
      <c r="G12" s="5">
        <f t="shared" ref="G12:G16" si="2">H12+I12</f>
        <v>164609021.74000001</v>
      </c>
      <c r="H12" s="2">
        <v>164609021.74000001</v>
      </c>
      <c r="I12" s="4">
        <v>0</v>
      </c>
      <c r="J12" s="36"/>
      <c r="K12" s="36"/>
      <c r="L12" s="36"/>
    </row>
    <row r="13" spans="1:12" ht="18.75" x14ac:dyDescent="0.25">
      <c r="A13" s="214" t="s">
        <v>9</v>
      </c>
      <c r="B13" s="215"/>
      <c r="C13" s="215"/>
      <c r="D13" s="5"/>
      <c r="E13" s="2"/>
      <c r="F13" s="2"/>
      <c r="G13" s="5"/>
      <c r="H13" s="2"/>
      <c r="I13" s="4"/>
      <c r="J13" s="36"/>
      <c r="K13" s="36"/>
      <c r="L13" s="36"/>
    </row>
    <row r="14" spans="1:12" ht="112.5" x14ac:dyDescent="0.25">
      <c r="A14" s="214" t="s">
        <v>69</v>
      </c>
      <c r="B14" s="215">
        <v>131</v>
      </c>
      <c r="C14" s="215" t="s">
        <v>117</v>
      </c>
      <c r="D14" s="5">
        <f t="shared" ref="D14" si="3">E14+F14</f>
        <v>164609021.74000001</v>
      </c>
      <c r="E14" s="2">
        <v>164609021.74000001</v>
      </c>
      <c r="F14" s="2">
        <v>0</v>
      </c>
      <c r="G14" s="5">
        <f t="shared" ref="G14:G15" si="4">H14+I14</f>
        <v>164609021.74000001</v>
      </c>
      <c r="H14" s="2">
        <v>164609021.74000001</v>
      </c>
      <c r="I14" s="4">
        <v>0</v>
      </c>
      <c r="J14" s="36"/>
      <c r="K14" s="36"/>
      <c r="L14" s="36"/>
    </row>
    <row r="15" spans="1:12" ht="112.5" x14ac:dyDescent="0.25">
      <c r="A15" s="214" t="s">
        <v>478</v>
      </c>
      <c r="B15" s="215">
        <v>139</v>
      </c>
      <c r="C15" s="215" t="s">
        <v>117</v>
      </c>
      <c r="D15" s="5">
        <f>E15+F15</f>
        <v>0</v>
      </c>
      <c r="E15" s="2">
        <v>0</v>
      </c>
      <c r="F15" s="2">
        <v>0</v>
      </c>
      <c r="G15" s="5">
        <f t="shared" si="4"/>
        <v>0</v>
      </c>
      <c r="H15" s="2">
        <v>0</v>
      </c>
      <c r="I15" s="4">
        <v>0</v>
      </c>
      <c r="J15" s="36"/>
      <c r="K15" s="36"/>
      <c r="L15" s="36"/>
    </row>
    <row r="16" spans="1:12" ht="37.5" x14ac:dyDescent="0.25">
      <c r="A16" s="115" t="s">
        <v>50</v>
      </c>
      <c r="B16" s="119" t="s">
        <v>5</v>
      </c>
      <c r="C16" s="119" t="s">
        <v>5</v>
      </c>
      <c r="D16" s="5">
        <f t="shared" si="0"/>
        <v>0</v>
      </c>
      <c r="E16" s="2">
        <f t="shared" ref="E16" si="5">E18+E19</f>
        <v>0</v>
      </c>
      <c r="F16" s="2">
        <f t="shared" ref="F16" si="6">F18+F19</f>
        <v>0</v>
      </c>
      <c r="G16" s="5">
        <f t="shared" si="2"/>
        <v>0</v>
      </c>
      <c r="H16" s="2">
        <f t="shared" ref="H16" si="7">H18+H19</f>
        <v>0</v>
      </c>
      <c r="I16" s="4">
        <f t="shared" ref="I16" si="8">I18+I19</f>
        <v>0</v>
      </c>
      <c r="J16" s="36"/>
      <c r="K16" s="36"/>
      <c r="L16" s="36"/>
    </row>
    <row r="17" spans="1:12" ht="18.75" x14ac:dyDescent="0.25">
      <c r="A17" s="115" t="s">
        <v>9</v>
      </c>
      <c r="B17" s="119"/>
      <c r="C17" s="119"/>
      <c r="D17" s="5"/>
      <c r="E17" s="2"/>
      <c r="F17" s="2"/>
      <c r="G17" s="5"/>
      <c r="H17" s="2"/>
      <c r="I17" s="4"/>
      <c r="J17" s="36"/>
      <c r="K17" s="36"/>
      <c r="L17" s="36"/>
    </row>
    <row r="18" spans="1:12" ht="131.25" x14ac:dyDescent="0.25">
      <c r="A18" s="115" t="s">
        <v>70</v>
      </c>
      <c r="B18" s="119">
        <v>510</v>
      </c>
      <c r="C18" s="119" t="s">
        <v>5</v>
      </c>
      <c r="D18" s="5">
        <f t="shared" si="0"/>
        <v>0</v>
      </c>
      <c r="E18" s="2">
        <v>0</v>
      </c>
      <c r="F18" s="2">
        <v>0</v>
      </c>
      <c r="G18" s="5">
        <f t="shared" ref="G18:G20" si="9">H18+I18</f>
        <v>0</v>
      </c>
      <c r="H18" s="2">
        <v>0</v>
      </c>
      <c r="I18" s="4">
        <v>0</v>
      </c>
      <c r="J18" s="36"/>
      <c r="K18" s="36"/>
      <c r="L18" s="36"/>
    </row>
    <row r="19" spans="1:12" ht="150" x14ac:dyDescent="0.25">
      <c r="A19" s="115" t="s">
        <v>273</v>
      </c>
      <c r="B19" s="119">
        <v>510</v>
      </c>
      <c r="C19" s="119" t="s">
        <v>5</v>
      </c>
      <c r="D19" s="5">
        <f t="shared" si="0"/>
        <v>0</v>
      </c>
      <c r="E19" s="2">
        <v>0</v>
      </c>
      <c r="F19" s="2">
        <v>0</v>
      </c>
      <c r="G19" s="5">
        <f t="shared" si="9"/>
        <v>0</v>
      </c>
      <c r="H19" s="2">
        <v>0</v>
      </c>
      <c r="I19" s="4">
        <v>0</v>
      </c>
      <c r="J19" s="36"/>
      <c r="K19" s="36"/>
      <c r="L19" s="36"/>
    </row>
    <row r="20" spans="1:12" ht="18.75" x14ac:dyDescent="0.25">
      <c r="A20" s="115" t="s">
        <v>7</v>
      </c>
      <c r="B20" s="119" t="s">
        <v>5</v>
      </c>
      <c r="C20" s="119">
        <v>900</v>
      </c>
      <c r="D20" s="5">
        <f t="shared" si="0"/>
        <v>164609021.73999998</v>
      </c>
      <c r="E20" s="2">
        <f>E22+E91</f>
        <v>164609021.73999998</v>
      </c>
      <c r="F20" s="2">
        <f>F22+F91</f>
        <v>0</v>
      </c>
      <c r="G20" s="5">
        <f t="shared" si="9"/>
        <v>164609021.73999998</v>
      </c>
      <c r="H20" s="2">
        <f>H22+H91</f>
        <v>164609021.73999998</v>
      </c>
      <c r="I20" s="2">
        <f>I22+I91</f>
        <v>0</v>
      </c>
      <c r="J20" s="36"/>
      <c r="K20" s="36"/>
      <c r="L20" s="36"/>
    </row>
    <row r="21" spans="1:12" ht="18.75" x14ac:dyDescent="0.25">
      <c r="A21" s="115" t="s">
        <v>6</v>
      </c>
      <c r="B21" s="119"/>
      <c r="C21" s="119"/>
      <c r="D21" s="5"/>
      <c r="E21" s="2"/>
      <c r="F21" s="2"/>
      <c r="G21" s="5"/>
      <c r="H21" s="2"/>
      <c r="I21" s="2"/>
      <c r="J21" s="36"/>
      <c r="K21" s="36"/>
      <c r="L21" s="36"/>
    </row>
    <row r="22" spans="1:12" ht="18.75" x14ac:dyDescent="0.25">
      <c r="A22" s="115" t="s">
        <v>8</v>
      </c>
      <c r="B22" s="119" t="s">
        <v>5</v>
      </c>
      <c r="C22" s="119">
        <v>200</v>
      </c>
      <c r="D22" s="5">
        <f t="shared" si="0"/>
        <v>155207118.11999997</v>
      </c>
      <c r="E22" s="2">
        <f>E24+E32+E61+E70</f>
        <v>155207118.11999997</v>
      </c>
      <c r="F22" s="2">
        <f>F24+F32+F61+F70</f>
        <v>0</v>
      </c>
      <c r="G22" s="5">
        <f t="shared" ref="G22" si="10">H22+I22</f>
        <v>155207118.11999997</v>
      </c>
      <c r="H22" s="2">
        <f>H24+H32+H61+H70</f>
        <v>155207118.11999997</v>
      </c>
      <c r="I22" s="2">
        <f>I24+I32+I61+I70</f>
        <v>0</v>
      </c>
      <c r="J22" s="36"/>
      <c r="K22" s="36"/>
      <c r="L22" s="36"/>
    </row>
    <row r="23" spans="1:12" ht="14.45" customHeight="1" x14ac:dyDescent="0.25">
      <c r="A23" s="115" t="s">
        <v>9</v>
      </c>
      <c r="B23" s="119"/>
      <c r="C23" s="119"/>
      <c r="D23" s="5"/>
      <c r="E23" s="2"/>
      <c r="F23" s="2"/>
      <c r="G23" s="5"/>
      <c r="H23" s="2"/>
      <c r="I23" s="2"/>
      <c r="J23" s="36"/>
      <c r="K23" s="36"/>
      <c r="L23" s="36"/>
    </row>
    <row r="24" spans="1:12" ht="75" x14ac:dyDescent="0.25">
      <c r="A24" s="115" t="s">
        <v>10</v>
      </c>
      <c r="B24" s="119" t="s">
        <v>5</v>
      </c>
      <c r="C24" s="119">
        <v>210</v>
      </c>
      <c r="D24" s="5">
        <f t="shared" si="0"/>
        <v>59744391.629999995</v>
      </c>
      <c r="E24" s="2">
        <f>E26+E27+E28+E29</f>
        <v>59744391.629999995</v>
      </c>
      <c r="F24" s="2">
        <f>F26+F27+F28+F29</f>
        <v>0</v>
      </c>
      <c r="G24" s="5">
        <f t="shared" ref="G24" si="11">H24+I24</f>
        <v>59744391.629999995</v>
      </c>
      <c r="H24" s="2">
        <f>H26+H27+H28+H29</f>
        <v>59744391.629999995</v>
      </c>
      <c r="I24" s="2">
        <f>I26+I27+I28+I29</f>
        <v>0</v>
      </c>
      <c r="J24" s="36"/>
      <c r="K24" s="36"/>
      <c r="L24" s="36"/>
    </row>
    <row r="25" spans="1:12" ht="18.75" x14ac:dyDescent="0.25">
      <c r="A25" s="115" t="s">
        <v>9</v>
      </c>
      <c r="B25" s="119"/>
      <c r="C25" s="119"/>
      <c r="D25" s="5"/>
      <c r="E25" s="2"/>
      <c r="F25" s="2"/>
      <c r="G25" s="5"/>
      <c r="H25" s="2"/>
      <c r="I25" s="2"/>
      <c r="J25" s="36"/>
      <c r="K25" s="36"/>
      <c r="L25" s="36"/>
    </row>
    <row r="26" spans="1:12" ht="18.75" x14ac:dyDescent="0.25">
      <c r="A26" s="115" t="s">
        <v>11</v>
      </c>
      <c r="B26" s="119">
        <v>111</v>
      </c>
      <c r="C26" s="119">
        <v>211</v>
      </c>
      <c r="D26" s="5">
        <f t="shared" si="0"/>
        <v>45880485.119999997</v>
      </c>
      <c r="E26" s="2">
        <v>45880485.119999997</v>
      </c>
      <c r="F26" s="2">
        <f t="shared" ref="F26:F28" si="12">F28+F29+F30+F31</f>
        <v>0</v>
      </c>
      <c r="G26" s="5">
        <f t="shared" ref="G26:G28" si="13">H26+I26</f>
        <v>45880485.119999997</v>
      </c>
      <c r="H26" s="2">
        <v>45880485.119999997</v>
      </c>
      <c r="I26" s="2">
        <f t="shared" ref="I26:I28" si="14">I28+I29+I30+I31</f>
        <v>0</v>
      </c>
      <c r="J26" s="36"/>
      <c r="K26" s="36"/>
      <c r="L26" s="36"/>
    </row>
    <row r="27" spans="1:12" ht="75" x14ac:dyDescent="0.25">
      <c r="A27" s="115" t="s">
        <v>12</v>
      </c>
      <c r="B27" s="119">
        <v>112</v>
      </c>
      <c r="C27" s="119">
        <v>212</v>
      </c>
      <c r="D27" s="5">
        <f t="shared" si="0"/>
        <v>8000</v>
      </c>
      <c r="E27" s="2">
        <v>8000</v>
      </c>
      <c r="F27" s="2">
        <f t="shared" si="12"/>
        <v>0</v>
      </c>
      <c r="G27" s="5">
        <f t="shared" si="13"/>
        <v>8000</v>
      </c>
      <c r="H27" s="2">
        <v>8000</v>
      </c>
      <c r="I27" s="2">
        <f t="shared" si="14"/>
        <v>0</v>
      </c>
      <c r="J27" s="36"/>
      <c r="K27" s="36"/>
      <c r="L27" s="36"/>
    </row>
    <row r="28" spans="1:12" ht="56.25" x14ac:dyDescent="0.25">
      <c r="A28" s="115" t="s">
        <v>13</v>
      </c>
      <c r="B28" s="119">
        <v>119</v>
      </c>
      <c r="C28" s="119">
        <v>213</v>
      </c>
      <c r="D28" s="5">
        <f t="shared" si="0"/>
        <v>13855906.51</v>
      </c>
      <c r="E28" s="2">
        <v>13855906.51</v>
      </c>
      <c r="F28" s="2">
        <f t="shared" si="12"/>
        <v>0</v>
      </c>
      <c r="G28" s="5">
        <f t="shared" si="13"/>
        <v>13855906.51</v>
      </c>
      <c r="H28" s="2">
        <v>13855906.51</v>
      </c>
      <c r="I28" s="2">
        <f t="shared" si="14"/>
        <v>0</v>
      </c>
      <c r="J28" s="36"/>
      <c r="K28" s="36"/>
      <c r="L28" s="36"/>
    </row>
    <row r="29" spans="1:12" ht="93.75" x14ac:dyDescent="0.25">
      <c r="A29" s="115" t="s">
        <v>201</v>
      </c>
      <c r="B29" s="119" t="s">
        <v>5</v>
      </c>
      <c r="C29" s="119">
        <v>214</v>
      </c>
      <c r="D29" s="5">
        <f>E29+F29</f>
        <v>0</v>
      </c>
      <c r="E29" s="2">
        <f>E30+E31</f>
        <v>0</v>
      </c>
      <c r="F29" s="2">
        <f>F30+F31</f>
        <v>0</v>
      </c>
      <c r="G29" s="5">
        <f>H29+I29</f>
        <v>0</v>
      </c>
      <c r="H29" s="2">
        <f>H30+H31</f>
        <v>0</v>
      </c>
      <c r="I29" s="2">
        <f>I30+I31</f>
        <v>0</v>
      </c>
      <c r="J29" s="36"/>
      <c r="K29" s="36"/>
      <c r="L29" s="36"/>
    </row>
    <row r="30" spans="1:12" ht="18.75" x14ac:dyDescent="0.25">
      <c r="A30" s="235" t="s">
        <v>6</v>
      </c>
      <c r="B30" s="119">
        <v>112</v>
      </c>
      <c r="C30" s="119">
        <v>214</v>
      </c>
      <c r="D30" s="5">
        <f t="shared" si="0"/>
        <v>0</v>
      </c>
      <c r="E30" s="2"/>
      <c r="F30" s="2">
        <v>0</v>
      </c>
      <c r="G30" s="5">
        <f t="shared" ref="G30" si="15">H30+I30</f>
        <v>0</v>
      </c>
      <c r="H30" s="2">
        <v>0</v>
      </c>
      <c r="I30" s="2">
        <v>0</v>
      </c>
      <c r="J30" s="36"/>
      <c r="K30" s="36"/>
      <c r="L30" s="36"/>
    </row>
    <row r="31" spans="1:12" ht="22.15" customHeight="1" x14ac:dyDescent="0.25">
      <c r="A31" s="236"/>
      <c r="B31" s="119">
        <v>244</v>
      </c>
      <c r="C31" s="119">
        <v>214</v>
      </c>
      <c r="D31" s="5">
        <v>0</v>
      </c>
      <c r="E31" s="2"/>
      <c r="F31" s="2">
        <v>0</v>
      </c>
      <c r="G31" s="5">
        <v>0</v>
      </c>
      <c r="H31" s="2">
        <v>0</v>
      </c>
      <c r="I31" s="2">
        <v>0</v>
      </c>
      <c r="J31" s="36"/>
      <c r="K31" s="36"/>
      <c r="L31" s="36"/>
    </row>
    <row r="32" spans="1:12" ht="37.5" x14ac:dyDescent="0.25">
      <c r="A32" s="115" t="s">
        <v>14</v>
      </c>
      <c r="B32" s="119" t="s">
        <v>5</v>
      </c>
      <c r="C32" s="119">
        <v>220</v>
      </c>
      <c r="D32" s="5">
        <f>E32+F32</f>
        <v>75497833.190000013</v>
      </c>
      <c r="E32" s="2">
        <f>E34+E35+E38+E49+E50+E53+E59+E60</f>
        <v>75497833.190000013</v>
      </c>
      <c r="F32" s="2">
        <f>F34+F35+F38+F49+F50+F53+F59</f>
        <v>0</v>
      </c>
      <c r="G32" s="5">
        <f t="shared" ref="G32" si="16">H32+I32</f>
        <v>75497833.190000013</v>
      </c>
      <c r="H32" s="2">
        <f>H34+H35+H38+H49+H50+H53+H59+H60</f>
        <v>75497833.190000013</v>
      </c>
      <c r="I32" s="2">
        <f>I34+I35+I38+I49+I50+I53+I59</f>
        <v>0</v>
      </c>
      <c r="J32" s="36"/>
      <c r="K32" s="36"/>
      <c r="L32" s="36"/>
    </row>
    <row r="33" spans="1:12" ht="18.75" x14ac:dyDescent="0.25">
      <c r="A33" s="115" t="s">
        <v>9</v>
      </c>
      <c r="B33" s="119"/>
      <c r="C33" s="119"/>
      <c r="D33" s="5"/>
      <c r="E33" s="2"/>
      <c r="F33" s="2"/>
      <c r="G33" s="5"/>
      <c r="H33" s="2"/>
      <c r="I33" s="2"/>
      <c r="J33" s="36"/>
      <c r="K33" s="36"/>
      <c r="L33" s="36"/>
    </row>
    <row r="34" spans="1:12" ht="18.75" x14ac:dyDescent="0.25">
      <c r="A34" s="115" t="s">
        <v>15</v>
      </c>
      <c r="B34" s="119">
        <v>244</v>
      </c>
      <c r="C34" s="119">
        <v>221</v>
      </c>
      <c r="D34" s="5">
        <f t="shared" si="0"/>
        <v>2377640</v>
      </c>
      <c r="E34" s="2">
        <v>2377640</v>
      </c>
      <c r="F34" s="2">
        <v>0</v>
      </c>
      <c r="G34" s="5">
        <f t="shared" ref="G34:G38" si="17">H34+I34</f>
        <v>2377640</v>
      </c>
      <c r="H34" s="2">
        <v>2377640</v>
      </c>
      <c r="I34" s="2">
        <v>0</v>
      </c>
      <c r="J34" s="36"/>
      <c r="K34" s="36"/>
      <c r="L34" s="36"/>
    </row>
    <row r="35" spans="1:12" ht="37.5" x14ac:dyDescent="0.25">
      <c r="A35" s="115" t="s">
        <v>16</v>
      </c>
      <c r="B35" s="119" t="s">
        <v>5</v>
      </c>
      <c r="C35" s="119">
        <v>222</v>
      </c>
      <c r="D35" s="5">
        <f t="shared" si="0"/>
        <v>0</v>
      </c>
      <c r="E35" s="2">
        <f>E36+E37</f>
        <v>0</v>
      </c>
      <c r="F35" s="2">
        <f>F36+F37</f>
        <v>0</v>
      </c>
      <c r="G35" s="5">
        <f t="shared" si="17"/>
        <v>0</v>
      </c>
      <c r="H35" s="2">
        <f>H36+H37</f>
        <v>0</v>
      </c>
      <c r="I35" s="2">
        <f>I36+I37</f>
        <v>0</v>
      </c>
      <c r="J35" s="36"/>
      <c r="K35" s="36"/>
      <c r="L35" s="36"/>
    </row>
    <row r="36" spans="1:12" ht="22.9" customHeight="1" x14ac:dyDescent="0.25">
      <c r="A36" s="221" t="s">
        <v>6</v>
      </c>
      <c r="B36" s="119">
        <v>112</v>
      </c>
      <c r="C36" s="119">
        <v>222</v>
      </c>
      <c r="D36" s="5">
        <f t="shared" si="0"/>
        <v>0</v>
      </c>
      <c r="E36" s="2">
        <v>0</v>
      </c>
      <c r="F36" s="2">
        <v>0</v>
      </c>
      <c r="G36" s="5">
        <f t="shared" si="17"/>
        <v>0</v>
      </c>
      <c r="H36" s="2">
        <v>0</v>
      </c>
      <c r="I36" s="2">
        <v>0</v>
      </c>
      <c r="J36" s="36"/>
      <c r="K36" s="36"/>
      <c r="L36" s="36"/>
    </row>
    <row r="37" spans="1:12" ht="18.75" x14ac:dyDescent="0.25">
      <c r="A37" s="221"/>
      <c r="B37" s="119">
        <v>244</v>
      </c>
      <c r="C37" s="119">
        <v>222</v>
      </c>
      <c r="D37" s="5">
        <f t="shared" si="0"/>
        <v>0</v>
      </c>
      <c r="E37" s="2">
        <v>0</v>
      </c>
      <c r="F37" s="2">
        <v>0</v>
      </c>
      <c r="G37" s="5">
        <f t="shared" si="17"/>
        <v>0</v>
      </c>
      <c r="H37" s="2">
        <v>0</v>
      </c>
      <c r="I37" s="2">
        <v>0</v>
      </c>
      <c r="J37" s="36"/>
      <c r="K37" s="36"/>
      <c r="L37" s="36"/>
    </row>
    <row r="38" spans="1:12" ht="37.5" x14ac:dyDescent="0.25">
      <c r="A38" s="115" t="s">
        <v>17</v>
      </c>
      <c r="B38" s="119" t="s">
        <v>5</v>
      </c>
      <c r="C38" s="119">
        <v>223</v>
      </c>
      <c r="D38" s="5">
        <f t="shared" si="0"/>
        <v>36113963.160000004</v>
      </c>
      <c r="E38" s="2">
        <f t="shared" ref="E38" si="18">E41+E43+E45+E46+E47</f>
        <v>36113963.160000004</v>
      </c>
      <c r="F38" s="2">
        <f t="shared" ref="F38" si="19">F41+F43+F45+F46+F47</f>
        <v>0</v>
      </c>
      <c r="G38" s="5">
        <f t="shared" si="17"/>
        <v>36113963.160000004</v>
      </c>
      <c r="H38" s="2">
        <f t="shared" ref="H38" si="20">H41+H43+H45+H46+H47</f>
        <v>36113963.160000004</v>
      </c>
      <c r="I38" s="2">
        <f t="shared" ref="I38" si="21">I41+I43+I45+I46+I47</f>
        <v>0</v>
      </c>
      <c r="J38" s="36"/>
      <c r="K38" s="36"/>
      <c r="L38" s="36"/>
    </row>
    <row r="39" spans="1:12" ht="18.75" x14ac:dyDescent="0.25">
      <c r="A39" s="115" t="s">
        <v>6</v>
      </c>
      <c r="B39" s="119"/>
      <c r="C39" s="119"/>
      <c r="D39" s="5"/>
      <c r="E39" s="2"/>
      <c r="F39" s="2"/>
      <c r="G39" s="5"/>
      <c r="H39" s="2"/>
      <c r="I39" s="2"/>
      <c r="J39" s="36"/>
      <c r="K39" s="36"/>
      <c r="L39" s="36"/>
    </row>
    <row r="40" spans="1:12" ht="56.25" x14ac:dyDescent="0.25">
      <c r="A40" s="190" t="s">
        <v>18</v>
      </c>
      <c r="B40" s="191">
        <v>244</v>
      </c>
      <c r="C40" s="191">
        <v>223</v>
      </c>
      <c r="D40" s="5">
        <f t="shared" ref="D40" si="22">E40+F40</f>
        <v>0</v>
      </c>
      <c r="E40" s="2">
        <v>0</v>
      </c>
      <c r="F40" s="2">
        <v>0</v>
      </c>
      <c r="G40" s="5">
        <f t="shared" ref="G40" si="23">H40+I40</f>
        <v>0</v>
      </c>
      <c r="H40" s="2">
        <v>0</v>
      </c>
      <c r="I40" s="2">
        <v>0</v>
      </c>
      <c r="J40" s="36"/>
      <c r="K40" s="36"/>
      <c r="L40" s="36"/>
    </row>
    <row r="41" spans="1:12" ht="56.25" x14ac:dyDescent="0.25">
      <c r="A41" s="115" t="s">
        <v>18</v>
      </c>
      <c r="B41" s="119">
        <v>247</v>
      </c>
      <c r="C41" s="119">
        <v>223</v>
      </c>
      <c r="D41" s="5">
        <f t="shared" si="0"/>
        <v>0</v>
      </c>
      <c r="E41" s="2">
        <v>0</v>
      </c>
      <c r="F41" s="2">
        <v>0</v>
      </c>
      <c r="G41" s="5">
        <f t="shared" ref="G41:G49" si="24">H41+I41</f>
        <v>0</v>
      </c>
      <c r="H41" s="2">
        <v>0</v>
      </c>
      <c r="I41" s="2">
        <v>0</v>
      </c>
      <c r="J41" s="36"/>
      <c r="K41" s="36"/>
      <c r="L41" s="36"/>
    </row>
    <row r="42" spans="1:12" ht="37.5" x14ac:dyDescent="0.25">
      <c r="A42" s="190" t="s">
        <v>19</v>
      </c>
      <c r="B42" s="191">
        <v>244</v>
      </c>
      <c r="C42" s="191">
        <v>223</v>
      </c>
      <c r="D42" s="5">
        <f t="shared" ref="D42" si="25">E42+F42</f>
        <v>0</v>
      </c>
      <c r="E42" s="2">
        <v>0</v>
      </c>
      <c r="F42" s="2">
        <v>0</v>
      </c>
      <c r="G42" s="5">
        <f t="shared" ref="G42" si="26">H42+I42</f>
        <v>0</v>
      </c>
      <c r="H42" s="2">
        <v>0</v>
      </c>
      <c r="I42" s="2">
        <v>0</v>
      </c>
      <c r="J42" s="36"/>
      <c r="K42" s="36"/>
      <c r="L42" s="36"/>
    </row>
    <row r="43" spans="1:12" ht="37.5" x14ac:dyDescent="0.25">
      <c r="A43" s="115" t="s">
        <v>19</v>
      </c>
      <c r="B43" s="119">
        <v>247</v>
      </c>
      <c r="C43" s="119">
        <v>223</v>
      </c>
      <c r="D43" s="5">
        <f t="shared" si="0"/>
        <v>3626465.69</v>
      </c>
      <c r="E43" s="2">
        <v>3626465.69</v>
      </c>
      <c r="F43" s="2">
        <v>0</v>
      </c>
      <c r="G43" s="5">
        <f t="shared" si="24"/>
        <v>3626465.69</v>
      </c>
      <c r="H43" s="2">
        <v>3626465.69</v>
      </c>
      <c r="I43" s="2">
        <v>0</v>
      </c>
      <c r="J43" s="36"/>
      <c r="K43" s="36"/>
      <c r="L43" s="36"/>
    </row>
    <row r="44" spans="1:12" ht="75" x14ac:dyDescent="0.25">
      <c r="A44" s="190" t="s">
        <v>20</v>
      </c>
      <c r="B44" s="191">
        <v>244</v>
      </c>
      <c r="C44" s="191">
        <v>223</v>
      </c>
      <c r="D44" s="5">
        <f t="shared" ref="D44" si="27">E44+F44</f>
        <v>0</v>
      </c>
      <c r="E44" s="2">
        <v>0</v>
      </c>
      <c r="F44" s="2">
        <v>0</v>
      </c>
      <c r="G44" s="5">
        <f t="shared" ref="G44" si="28">H44+I44</f>
        <v>0</v>
      </c>
      <c r="H44" s="2">
        <v>0</v>
      </c>
      <c r="I44" s="2">
        <v>0</v>
      </c>
      <c r="J44" s="36"/>
      <c r="K44" s="36"/>
      <c r="L44" s="36"/>
    </row>
    <row r="45" spans="1:12" ht="75" x14ac:dyDescent="0.25">
      <c r="A45" s="115" t="s">
        <v>20</v>
      </c>
      <c r="B45" s="119">
        <v>247</v>
      </c>
      <c r="C45" s="119">
        <v>223</v>
      </c>
      <c r="D45" s="5">
        <f t="shared" si="0"/>
        <v>25316126.350000001</v>
      </c>
      <c r="E45" s="2">
        <v>25316126.350000001</v>
      </c>
      <c r="F45" s="2">
        <v>0</v>
      </c>
      <c r="G45" s="5">
        <f t="shared" si="24"/>
        <v>25316126.350000001</v>
      </c>
      <c r="H45" s="2">
        <v>25316126.350000001</v>
      </c>
      <c r="I45" s="2">
        <v>0</v>
      </c>
      <c r="J45" s="36"/>
      <c r="K45" s="36"/>
      <c r="L45" s="36"/>
    </row>
    <row r="46" spans="1:12" ht="75" x14ac:dyDescent="0.25">
      <c r="A46" s="115" t="s">
        <v>21</v>
      </c>
      <c r="B46" s="119">
        <v>244</v>
      </c>
      <c r="C46" s="119">
        <v>223</v>
      </c>
      <c r="D46" s="5">
        <f t="shared" si="0"/>
        <v>6574816.25</v>
      </c>
      <c r="E46" s="2">
        <v>6574816.25</v>
      </c>
      <c r="F46" s="2">
        <v>0</v>
      </c>
      <c r="G46" s="5">
        <f t="shared" si="24"/>
        <v>6574816.25</v>
      </c>
      <c r="H46" s="2">
        <v>6574816.25</v>
      </c>
      <c r="I46" s="2">
        <v>0</v>
      </c>
      <c r="J46" s="36"/>
      <c r="K46" s="36"/>
      <c r="L46" s="36"/>
    </row>
    <row r="47" spans="1:12" ht="56.25" x14ac:dyDescent="0.25">
      <c r="A47" s="115" t="s">
        <v>22</v>
      </c>
      <c r="B47" s="119">
        <v>244</v>
      </c>
      <c r="C47" s="119">
        <v>223</v>
      </c>
      <c r="D47" s="5">
        <f t="shared" si="0"/>
        <v>596554.87</v>
      </c>
      <c r="E47" s="2">
        <v>596554.87</v>
      </c>
      <c r="F47" s="2">
        <v>0</v>
      </c>
      <c r="G47" s="5">
        <f t="shared" si="24"/>
        <v>596554.87</v>
      </c>
      <c r="H47" s="2">
        <v>596554.87</v>
      </c>
      <c r="I47" s="2">
        <v>0</v>
      </c>
      <c r="J47" s="36"/>
      <c r="K47" s="36"/>
      <c r="L47" s="36"/>
    </row>
    <row r="48" spans="1:12" ht="56.25" x14ac:dyDescent="0.25">
      <c r="A48" s="195" t="s">
        <v>442</v>
      </c>
      <c r="B48" s="196">
        <v>244</v>
      </c>
      <c r="C48" s="196">
        <v>223</v>
      </c>
      <c r="D48" s="5">
        <f t="shared" ref="D48" si="29">E48+F48</f>
        <v>0</v>
      </c>
      <c r="E48" s="2">
        <v>0</v>
      </c>
      <c r="F48" s="2">
        <v>0</v>
      </c>
      <c r="G48" s="5">
        <f t="shared" ref="G48" si="30">H48+I48</f>
        <v>0</v>
      </c>
      <c r="H48" s="2">
        <v>0</v>
      </c>
      <c r="I48" s="2">
        <v>0</v>
      </c>
      <c r="J48" s="36"/>
      <c r="K48" s="36"/>
      <c r="L48" s="36"/>
    </row>
    <row r="49" spans="1:12" ht="168.75" x14ac:dyDescent="0.25">
      <c r="A49" s="115" t="s">
        <v>23</v>
      </c>
      <c r="B49" s="119">
        <v>244</v>
      </c>
      <c r="C49" s="119">
        <v>224</v>
      </c>
      <c r="D49" s="5">
        <f t="shared" si="0"/>
        <v>0</v>
      </c>
      <c r="E49" s="2">
        <v>0</v>
      </c>
      <c r="F49" s="2">
        <v>0</v>
      </c>
      <c r="G49" s="5">
        <f t="shared" si="24"/>
        <v>0</v>
      </c>
      <c r="H49" s="2">
        <v>0</v>
      </c>
      <c r="I49" s="2">
        <v>0</v>
      </c>
      <c r="J49" s="36"/>
      <c r="K49" s="36"/>
      <c r="L49" s="36"/>
    </row>
    <row r="50" spans="1:12" ht="56.25" x14ac:dyDescent="0.25">
      <c r="A50" s="115" t="s">
        <v>24</v>
      </c>
      <c r="B50" s="119" t="s">
        <v>5</v>
      </c>
      <c r="C50" s="119">
        <v>225</v>
      </c>
      <c r="D50" s="2">
        <f t="shared" ref="D50:F50" si="31">D51+D52</f>
        <v>27992701.129999999</v>
      </c>
      <c r="E50" s="2">
        <f>E51+E52</f>
        <v>27992701.129999999</v>
      </c>
      <c r="F50" s="2">
        <f t="shared" si="31"/>
        <v>0</v>
      </c>
      <c r="G50" s="2">
        <f t="shared" ref="G50" si="32">G51+G52</f>
        <v>27992701.129999999</v>
      </c>
      <c r="H50" s="2">
        <f>H51+H52</f>
        <v>27992701.129999999</v>
      </c>
      <c r="I50" s="2">
        <f t="shared" ref="I50" si="33">I51+I52</f>
        <v>0</v>
      </c>
      <c r="J50" s="36"/>
      <c r="K50" s="36"/>
      <c r="L50" s="36"/>
    </row>
    <row r="51" spans="1:12" ht="18.75" x14ac:dyDescent="0.25">
      <c r="A51" s="221" t="s">
        <v>6</v>
      </c>
      <c r="B51" s="119">
        <v>243</v>
      </c>
      <c r="C51" s="119">
        <v>225</v>
      </c>
      <c r="D51" s="5">
        <f t="shared" si="0"/>
        <v>0</v>
      </c>
      <c r="E51" s="2"/>
      <c r="F51" s="2">
        <v>0</v>
      </c>
      <c r="G51" s="5">
        <f t="shared" ref="G51:G91" si="34">H51+I51</f>
        <v>0</v>
      </c>
      <c r="H51" s="2">
        <v>0</v>
      </c>
      <c r="I51" s="2">
        <v>0</v>
      </c>
      <c r="J51" s="36"/>
      <c r="K51" s="36"/>
      <c r="L51" s="36"/>
    </row>
    <row r="52" spans="1:12" ht="18.75" x14ac:dyDescent="0.25">
      <c r="A52" s="221"/>
      <c r="B52" s="119">
        <v>244</v>
      </c>
      <c r="C52" s="119">
        <v>225</v>
      </c>
      <c r="D52" s="5">
        <f t="shared" si="0"/>
        <v>27992701.129999999</v>
      </c>
      <c r="E52" s="2">
        <v>27992701.129999999</v>
      </c>
      <c r="F52" s="2">
        <v>0</v>
      </c>
      <c r="G52" s="5">
        <f t="shared" si="34"/>
        <v>27992701.129999999</v>
      </c>
      <c r="H52" s="2">
        <v>27992701.129999999</v>
      </c>
      <c r="I52" s="2">
        <v>0</v>
      </c>
      <c r="J52" s="36"/>
      <c r="K52" s="36"/>
      <c r="L52" s="36"/>
    </row>
    <row r="53" spans="1:12" ht="37.5" x14ac:dyDescent="0.25">
      <c r="A53" s="115" t="s">
        <v>58</v>
      </c>
      <c r="B53" s="119" t="s">
        <v>5</v>
      </c>
      <c r="C53" s="119">
        <v>226</v>
      </c>
      <c r="D53" s="5">
        <f t="shared" si="0"/>
        <v>9008461.2799999993</v>
      </c>
      <c r="E53" s="2">
        <f>E54+E55+E57+E58+E56</f>
        <v>9008461.2799999993</v>
      </c>
      <c r="F53" s="2">
        <f>F54+F55+F57+F58+F56</f>
        <v>0</v>
      </c>
      <c r="G53" s="5">
        <f t="shared" si="34"/>
        <v>9008461.2799999993</v>
      </c>
      <c r="H53" s="2">
        <f>H54+H55+H57+H58+H56</f>
        <v>9008461.2799999993</v>
      </c>
      <c r="I53" s="2">
        <f>I54+I55+I57+I58+I56</f>
        <v>0</v>
      </c>
      <c r="J53" s="36"/>
      <c r="K53" s="36"/>
      <c r="L53" s="36"/>
    </row>
    <row r="54" spans="1:12" ht="18.75" x14ac:dyDescent="0.25">
      <c r="A54" s="221" t="s">
        <v>6</v>
      </c>
      <c r="B54" s="119">
        <v>112</v>
      </c>
      <c r="C54" s="119">
        <v>226</v>
      </c>
      <c r="D54" s="5">
        <f t="shared" si="0"/>
        <v>0</v>
      </c>
      <c r="E54" s="2">
        <v>0</v>
      </c>
      <c r="F54" s="2">
        <v>0</v>
      </c>
      <c r="G54" s="5">
        <f t="shared" si="34"/>
        <v>0</v>
      </c>
      <c r="H54" s="2">
        <v>0</v>
      </c>
      <c r="I54" s="2">
        <v>0</v>
      </c>
      <c r="J54" s="36"/>
      <c r="K54" s="36"/>
      <c r="L54" s="36"/>
    </row>
    <row r="55" spans="1:12" ht="18.75" x14ac:dyDescent="0.25">
      <c r="A55" s="221"/>
      <c r="B55" s="119">
        <v>113</v>
      </c>
      <c r="C55" s="119">
        <v>226</v>
      </c>
      <c r="D55" s="5">
        <f t="shared" si="0"/>
        <v>0</v>
      </c>
      <c r="E55" s="2">
        <v>0</v>
      </c>
      <c r="F55" s="2">
        <v>0</v>
      </c>
      <c r="G55" s="5">
        <f t="shared" si="34"/>
        <v>0</v>
      </c>
      <c r="H55" s="2">
        <v>0</v>
      </c>
      <c r="I55" s="2">
        <v>0</v>
      </c>
      <c r="J55" s="36"/>
      <c r="K55" s="36"/>
      <c r="L55" s="36"/>
    </row>
    <row r="56" spans="1:12" ht="18.75" x14ac:dyDescent="0.25">
      <c r="A56" s="221"/>
      <c r="B56" s="119">
        <v>119</v>
      </c>
      <c r="C56" s="119">
        <v>226</v>
      </c>
      <c r="D56" s="5">
        <f t="shared" si="0"/>
        <v>0</v>
      </c>
      <c r="E56" s="2">
        <v>0</v>
      </c>
      <c r="F56" s="2">
        <v>0</v>
      </c>
      <c r="G56" s="5">
        <f t="shared" si="34"/>
        <v>0</v>
      </c>
      <c r="H56" s="2">
        <v>0</v>
      </c>
      <c r="I56" s="2">
        <v>0</v>
      </c>
      <c r="J56" s="36"/>
      <c r="K56" s="36"/>
      <c r="L56" s="36"/>
    </row>
    <row r="57" spans="1:12" ht="18.75" x14ac:dyDescent="0.25">
      <c r="A57" s="221"/>
      <c r="B57" s="119">
        <v>243</v>
      </c>
      <c r="C57" s="119">
        <v>226</v>
      </c>
      <c r="D57" s="5">
        <f t="shared" si="0"/>
        <v>0</v>
      </c>
      <c r="E57" s="2">
        <v>0</v>
      </c>
      <c r="F57" s="2">
        <v>0</v>
      </c>
      <c r="G57" s="5">
        <f t="shared" si="34"/>
        <v>0</v>
      </c>
      <c r="H57" s="2">
        <v>0</v>
      </c>
      <c r="I57" s="2">
        <v>0</v>
      </c>
      <c r="J57" s="36"/>
      <c r="K57" s="36"/>
      <c r="L57" s="36"/>
    </row>
    <row r="58" spans="1:12" ht="18.75" x14ac:dyDescent="0.25">
      <c r="A58" s="221"/>
      <c r="B58" s="119">
        <v>244</v>
      </c>
      <c r="C58" s="119">
        <v>226</v>
      </c>
      <c r="D58" s="5">
        <f t="shared" si="0"/>
        <v>9008461.2799999993</v>
      </c>
      <c r="E58" s="2">
        <v>9008461.2799999993</v>
      </c>
      <c r="F58" s="2">
        <v>0</v>
      </c>
      <c r="G58" s="5">
        <f t="shared" si="34"/>
        <v>9008461.2799999993</v>
      </c>
      <c r="H58" s="2">
        <v>9008461.2799999993</v>
      </c>
      <c r="I58" s="2">
        <v>0</v>
      </c>
      <c r="J58" s="36"/>
      <c r="K58" s="36"/>
      <c r="L58" s="36"/>
    </row>
    <row r="59" spans="1:12" ht="18.75" x14ac:dyDescent="0.25">
      <c r="A59" s="115" t="s">
        <v>25</v>
      </c>
      <c r="B59" s="119">
        <v>244</v>
      </c>
      <c r="C59" s="119">
        <v>227</v>
      </c>
      <c r="D59" s="5">
        <f t="shared" si="0"/>
        <v>5067.62</v>
      </c>
      <c r="E59" s="2">
        <v>5067.62</v>
      </c>
      <c r="F59" s="2">
        <v>0</v>
      </c>
      <c r="G59" s="5">
        <f t="shared" si="34"/>
        <v>5067.62</v>
      </c>
      <c r="H59" s="2">
        <v>5067.62</v>
      </c>
      <c r="I59" s="2">
        <v>0</v>
      </c>
      <c r="J59" s="36"/>
      <c r="K59" s="36"/>
      <c r="L59" s="36"/>
    </row>
    <row r="60" spans="1:12" ht="56.25" x14ac:dyDescent="0.25">
      <c r="A60" s="170" t="s">
        <v>345</v>
      </c>
      <c r="B60" s="171">
        <v>244</v>
      </c>
      <c r="C60" s="171">
        <v>228</v>
      </c>
      <c r="D60" s="5">
        <f t="shared" ref="D60" si="35">E60+F60</f>
        <v>0</v>
      </c>
      <c r="E60" s="2">
        <v>0</v>
      </c>
      <c r="F60" s="2">
        <v>0</v>
      </c>
      <c r="G60" s="5">
        <f t="shared" ref="G60" si="36">H60+I60</f>
        <v>0</v>
      </c>
      <c r="H60" s="2">
        <v>0</v>
      </c>
      <c r="I60" s="2">
        <v>0</v>
      </c>
      <c r="J60" s="36"/>
      <c r="K60" s="36"/>
      <c r="L60" s="36"/>
    </row>
    <row r="61" spans="1:12" ht="37.5" x14ac:dyDescent="0.25">
      <c r="A61" s="115" t="s">
        <v>26</v>
      </c>
      <c r="B61" s="119" t="s">
        <v>5</v>
      </c>
      <c r="C61" s="119">
        <v>260</v>
      </c>
      <c r="D61" s="5">
        <f t="shared" si="0"/>
        <v>49999.92</v>
      </c>
      <c r="E61" s="2">
        <f>E62+E63+E64+E65+E69</f>
        <v>49999.92</v>
      </c>
      <c r="F61" s="2">
        <f>F63+F65+F69</f>
        <v>0</v>
      </c>
      <c r="G61" s="5">
        <f t="shared" si="34"/>
        <v>49999.92</v>
      </c>
      <c r="H61" s="2">
        <f>H62+H63+H64+H65+H69</f>
        <v>49999.92</v>
      </c>
      <c r="I61" s="2">
        <f>I63+I65+I69</f>
        <v>0</v>
      </c>
      <c r="J61" s="36"/>
      <c r="K61" s="36"/>
      <c r="L61" s="36"/>
    </row>
    <row r="62" spans="1:12" ht="93.75" x14ac:dyDescent="0.25">
      <c r="A62" s="219" t="s">
        <v>501</v>
      </c>
      <c r="B62" s="220">
        <v>323</v>
      </c>
      <c r="C62" s="220">
        <v>263</v>
      </c>
      <c r="D62" s="5"/>
      <c r="E62" s="2"/>
      <c r="F62" s="2"/>
      <c r="G62" s="5"/>
      <c r="H62" s="2"/>
      <c r="I62" s="2"/>
      <c r="J62" s="36"/>
      <c r="K62" s="36"/>
      <c r="L62" s="36"/>
    </row>
    <row r="63" spans="1:12" ht="112.5" x14ac:dyDescent="0.25">
      <c r="A63" s="115" t="s">
        <v>27</v>
      </c>
      <c r="B63" s="119">
        <v>321</v>
      </c>
      <c r="C63" s="119">
        <v>264</v>
      </c>
      <c r="D63" s="5">
        <f t="shared" si="0"/>
        <v>0</v>
      </c>
      <c r="E63" s="2">
        <v>0</v>
      </c>
      <c r="F63" s="2">
        <v>0</v>
      </c>
      <c r="G63" s="5">
        <f t="shared" si="34"/>
        <v>0</v>
      </c>
      <c r="H63" s="2">
        <v>0</v>
      </c>
      <c r="I63" s="2">
        <v>0</v>
      </c>
      <c r="J63" s="36"/>
      <c r="K63" s="36"/>
      <c r="L63" s="36"/>
    </row>
    <row r="64" spans="1:12" ht="168.75" x14ac:dyDescent="0.25">
      <c r="A64" s="193" t="s">
        <v>441</v>
      </c>
      <c r="B64" s="194">
        <v>119</v>
      </c>
      <c r="C64" s="194">
        <v>265</v>
      </c>
      <c r="D64" s="5">
        <f t="shared" si="0"/>
        <v>0</v>
      </c>
      <c r="E64" s="2">
        <v>0</v>
      </c>
      <c r="F64" s="2">
        <v>0</v>
      </c>
      <c r="G64" s="5">
        <f t="shared" si="34"/>
        <v>0</v>
      </c>
      <c r="H64" s="2">
        <v>0</v>
      </c>
      <c r="I64" s="2">
        <v>0</v>
      </c>
      <c r="J64" s="36"/>
      <c r="K64" s="36"/>
      <c r="L64" s="36"/>
    </row>
    <row r="65" spans="1:12" ht="93.75" x14ac:dyDescent="0.25">
      <c r="A65" s="115" t="s">
        <v>28</v>
      </c>
      <c r="B65" s="119" t="s">
        <v>5</v>
      </c>
      <c r="C65" s="119">
        <v>266</v>
      </c>
      <c r="D65" s="5">
        <f t="shared" si="0"/>
        <v>49999.92</v>
      </c>
      <c r="E65" s="2">
        <f t="shared" ref="E65" si="37">E66+E67</f>
        <v>49999.92</v>
      </c>
      <c r="F65" s="2">
        <f t="shared" ref="F65" si="38">F66+F67</f>
        <v>0</v>
      </c>
      <c r="G65" s="5">
        <f t="shared" si="34"/>
        <v>49999.92</v>
      </c>
      <c r="H65" s="2">
        <f t="shared" ref="H65" si="39">H66+H67</f>
        <v>49999.92</v>
      </c>
      <c r="I65" s="2">
        <f t="shared" ref="I65" si="40">I66+I67</f>
        <v>0</v>
      </c>
      <c r="J65" s="36"/>
      <c r="K65" s="36"/>
      <c r="L65" s="36"/>
    </row>
    <row r="66" spans="1:12" ht="18.75" x14ac:dyDescent="0.25">
      <c r="A66" s="221" t="s">
        <v>6</v>
      </c>
      <c r="B66" s="119">
        <v>111</v>
      </c>
      <c r="C66" s="119">
        <v>266</v>
      </c>
      <c r="D66" s="5">
        <f t="shared" si="0"/>
        <v>49999.92</v>
      </c>
      <c r="E66" s="2">
        <v>49999.92</v>
      </c>
      <c r="F66" s="2">
        <v>0</v>
      </c>
      <c r="G66" s="5">
        <f t="shared" si="34"/>
        <v>49999.92</v>
      </c>
      <c r="H66" s="2">
        <v>49999.92</v>
      </c>
      <c r="I66" s="2">
        <v>0</v>
      </c>
      <c r="J66" s="36"/>
      <c r="K66" s="36"/>
      <c r="L66" s="36"/>
    </row>
    <row r="67" spans="1:12" ht="18.75" x14ac:dyDescent="0.25">
      <c r="A67" s="221"/>
      <c r="B67" s="119">
        <v>112</v>
      </c>
      <c r="C67" s="119">
        <v>266</v>
      </c>
      <c r="D67" s="5">
        <f t="shared" si="0"/>
        <v>0</v>
      </c>
      <c r="E67" s="2">
        <v>0</v>
      </c>
      <c r="F67" s="2">
        <v>0</v>
      </c>
      <c r="G67" s="5">
        <f t="shared" si="34"/>
        <v>0</v>
      </c>
      <c r="H67" s="2">
        <v>0</v>
      </c>
      <c r="I67" s="2">
        <v>0</v>
      </c>
      <c r="J67" s="36"/>
      <c r="K67" s="36"/>
      <c r="L67" s="36"/>
    </row>
    <row r="68" spans="1:12" ht="18.75" x14ac:dyDescent="0.25">
      <c r="A68" s="219"/>
      <c r="B68" s="220">
        <v>119</v>
      </c>
      <c r="C68" s="220">
        <v>266</v>
      </c>
      <c r="D68" s="5">
        <f t="shared" ref="D68" si="41">E68+F68</f>
        <v>0</v>
      </c>
      <c r="E68" s="2">
        <v>0</v>
      </c>
      <c r="F68" s="2">
        <v>0</v>
      </c>
      <c r="G68" s="5">
        <f t="shared" ref="G68" si="42">H68+I68</f>
        <v>0</v>
      </c>
      <c r="H68" s="2">
        <v>0</v>
      </c>
      <c r="I68" s="2">
        <v>0</v>
      </c>
      <c r="J68" s="36"/>
      <c r="K68" s="36"/>
      <c r="L68" s="36"/>
    </row>
    <row r="69" spans="1:12" ht="75" x14ac:dyDescent="0.25">
      <c r="A69" s="115" t="s">
        <v>29</v>
      </c>
      <c r="B69" s="119">
        <v>112</v>
      </c>
      <c r="C69" s="119">
        <v>267</v>
      </c>
      <c r="D69" s="5">
        <f t="shared" si="0"/>
        <v>0</v>
      </c>
      <c r="E69" s="2">
        <v>0</v>
      </c>
      <c r="F69" s="2">
        <v>0</v>
      </c>
      <c r="G69" s="5">
        <f t="shared" si="34"/>
        <v>0</v>
      </c>
      <c r="H69" s="2">
        <v>0</v>
      </c>
      <c r="I69" s="2">
        <v>0</v>
      </c>
      <c r="J69" s="36"/>
      <c r="K69" s="36"/>
      <c r="L69" s="36"/>
    </row>
    <row r="70" spans="1:12" ht="18.75" x14ac:dyDescent="0.25">
      <c r="A70" s="115" t="s">
        <v>30</v>
      </c>
      <c r="B70" s="119" t="s">
        <v>5</v>
      </c>
      <c r="C70" s="119">
        <v>290</v>
      </c>
      <c r="D70" s="5">
        <f t="shared" si="0"/>
        <v>19914893.379999999</v>
      </c>
      <c r="E70" s="2">
        <f>E72+E76+E77+E78+E79+E86</f>
        <v>19914893.379999999</v>
      </c>
      <c r="F70" s="2">
        <f>F72+F76+F77+F78+F79+F86</f>
        <v>0</v>
      </c>
      <c r="G70" s="5">
        <f t="shared" si="34"/>
        <v>19914893.379999999</v>
      </c>
      <c r="H70" s="2">
        <f>H72+H76+H77+H78+H79+H86</f>
        <v>19914893.379999999</v>
      </c>
      <c r="I70" s="2">
        <f>I72+I76+I77+I78+I79+I86</f>
        <v>0</v>
      </c>
      <c r="J70" s="36"/>
      <c r="K70" s="36"/>
      <c r="L70" s="36"/>
    </row>
    <row r="71" spans="1:12" ht="18.75" x14ac:dyDescent="0.25">
      <c r="A71" s="115" t="s">
        <v>9</v>
      </c>
      <c r="B71" s="119"/>
      <c r="C71" s="119"/>
      <c r="D71" s="5">
        <f t="shared" si="0"/>
        <v>0</v>
      </c>
      <c r="E71" s="2"/>
      <c r="F71" s="2"/>
      <c r="G71" s="5">
        <f t="shared" si="34"/>
        <v>0</v>
      </c>
      <c r="H71" s="2"/>
      <c r="I71" s="2"/>
      <c r="J71" s="36"/>
      <c r="K71" s="36"/>
      <c r="L71" s="36"/>
    </row>
    <row r="72" spans="1:12" ht="37.5" x14ac:dyDescent="0.25">
      <c r="A72" s="115" t="s">
        <v>31</v>
      </c>
      <c r="B72" s="119" t="s">
        <v>5</v>
      </c>
      <c r="C72" s="119">
        <v>291</v>
      </c>
      <c r="D72" s="5">
        <f t="shared" si="0"/>
        <v>19914893.379999999</v>
      </c>
      <c r="E72" s="2">
        <f t="shared" ref="E72" si="43">E73+E74+E75</f>
        <v>19914893.379999999</v>
      </c>
      <c r="F72" s="2">
        <f t="shared" ref="F72" si="44">F73+F74+F75</f>
        <v>0</v>
      </c>
      <c r="G72" s="5">
        <f t="shared" si="34"/>
        <v>19914893.379999999</v>
      </c>
      <c r="H72" s="2">
        <f t="shared" ref="H72" si="45">H73+H74+H75</f>
        <v>19914893.379999999</v>
      </c>
      <c r="I72" s="2">
        <f t="shared" ref="I72" si="46">I73+I74+I75</f>
        <v>0</v>
      </c>
      <c r="J72" s="36"/>
      <c r="K72" s="36"/>
      <c r="L72" s="36"/>
    </row>
    <row r="73" spans="1:12" ht="18.75" x14ac:dyDescent="0.25">
      <c r="A73" s="221" t="s">
        <v>6</v>
      </c>
      <c r="B73" s="119">
        <v>851</v>
      </c>
      <c r="C73" s="119">
        <v>291</v>
      </c>
      <c r="D73" s="5">
        <f t="shared" si="0"/>
        <v>19861943.379999999</v>
      </c>
      <c r="E73" s="2">
        <v>19861943.379999999</v>
      </c>
      <c r="F73" s="2">
        <v>0</v>
      </c>
      <c r="G73" s="5">
        <f t="shared" si="34"/>
        <v>19861943.379999999</v>
      </c>
      <c r="H73" s="2">
        <v>19861943.379999999</v>
      </c>
      <c r="I73" s="2">
        <v>0</v>
      </c>
      <c r="J73" s="36"/>
      <c r="K73" s="36"/>
      <c r="L73" s="36"/>
    </row>
    <row r="74" spans="1:12" ht="57" customHeight="1" x14ac:dyDescent="0.25">
      <c r="A74" s="221"/>
      <c r="B74" s="119">
        <v>852</v>
      </c>
      <c r="C74" s="119">
        <v>291</v>
      </c>
      <c r="D74" s="5">
        <f t="shared" si="0"/>
        <v>51650</v>
      </c>
      <c r="E74" s="2">
        <v>51650</v>
      </c>
      <c r="F74" s="2">
        <v>0</v>
      </c>
      <c r="G74" s="5">
        <f t="shared" si="34"/>
        <v>51650</v>
      </c>
      <c r="H74" s="2">
        <v>51650</v>
      </c>
      <c r="I74" s="2">
        <v>0</v>
      </c>
      <c r="J74" s="36"/>
      <c r="K74" s="36"/>
      <c r="L74" s="36"/>
    </row>
    <row r="75" spans="1:12" ht="18.75" x14ac:dyDescent="0.25">
      <c r="A75" s="221"/>
      <c r="B75" s="119">
        <v>853</v>
      </c>
      <c r="C75" s="119">
        <v>291</v>
      </c>
      <c r="D75" s="5">
        <f t="shared" si="0"/>
        <v>1300</v>
      </c>
      <c r="E75" s="2">
        <v>1300</v>
      </c>
      <c r="F75" s="2">
        <v>0</v>
      </c>
      <c r="G75" s="5">
        <f t="shared" si="34"/>
        <v>1300</v>
      </c>
      <c r="H75" s="2">
        <v>1300</v>
      </c>
      <c r="I75" s="2">
        <v>0</v>
      </c>
      <c r="J75" s="36"/>
      <c r="K75" s="36"/>
      <c r="L75" s="36"/>
    </row>
    <row r="76" spans="1:12" ht="112.5" x14ac:dyDescent="0.25">
      <c r="A76" s="115" t="s">
        <v>32</v>
      </c>
      <c r="B76" s="119">
        <v>853</v>
      </c>
      <c r="C76" s="119">
        <v>292</v>
      </c>
      <c r="D76" s="5">
        <f t="shared" si="0"/>
        <v>0</v>
      </c>
      <c r="E76" s="2">
        <v>0</v>
      </c>
      <c r="F76" s="2">
        <v>0</v>
      </c>
      <c r="G76" s="5">
        <f t="shared" si="34"/>
        <v>0</v>
      </c>
      <c r="H76" s="2">
        <v>0</v>
      </c>
      <c r="I76" s="2">
        <v>0</v>
      </c>
      <c r="J76" s="36"/>
      <c r="K76" s="36"/>
      <c r="L76" s="36"/>
    </row>
    <row r="77" spans="1:12" ht="131.25" x14ac:dyDescent="0.25">
      <c r="A77" s="115" t="s">
        <v>33</v>
      </c>
      <c r="B77" s="119">
        <v>853</v>
      </c>
      <c r="C77" s="119">
        <v>293</v>
      </c>
      <c r="D77" s="5">
        <f t="shared" si="0"/>
        <v>0</v>
      </c>
      <c r="E77" s="2">
        <v>0</v>
      </c>
      <c r="F77" s="2">
        <v>0</v>
      </c>
      <c r="G77" s="5">
        <f t="shared" si="34"/>
        <v>0</v>
      </c>
      <c r="H77" s="2">
        <v>0</v>
      </c>
      <c r="I77" s="2">
        <v>0</v>
      </c>
      <c r="J77" s="36"/>
      <c r="K77" s="36"/>
      <c r="L77" s="36"/>
    </row>
    <row r="78" spans="1:12" ht="56.25" x14ac:dyDescent="0.25">
      <c r="A78" s="115" t="s">
        <v>158</v>
      </c>
      <c r="B78" s="119">
        <v>853</v>
      </c>
      <c r="C78" s="119">
        <v>295</v>
      </c>
      <c r="D78" s="5">
        <f t="shared" si="0"/>
        <v>0</v>
      </c>
      <c r="E78" s="2">
        <v>0</v>
      </c>
      <c r="F78" s="2">
        <v>0</v>
      </c>
      <c r="G78" s="5">
        <f t="shared" si="34"/>
        <v>0</v>
      </c>
      <c r="H78" s="2">
        <v>0</v>
      </c>
      <c r="I78" s="2">
        <v>0</v>
      </c>
      <c r="J78" s="36"/>
      <c r="K78" s="36"/>
      <c r="L78" s="36"/>
    </row>
    <row r="79" spans="1:12" ht="56.25" x14ac:dyDescent="0.25">
      <c r="A79" s="115" t="s">
        <v>34</v>
      </c>
      <c r="B79" s="119" t="s">
        <v>5</v>
      </c>
      <c r="C79" s="119">
        <v>296</v>
      </c>
      <c r="D79" s="5">
        <f t="shared" si="0"/>
        <v>0</v>
      </c>
      <c r="E79" s="2">
        <f t="shared" ref="E79" si="47">E80+E81+E82+E83+E85</f>
        <v>0</v>
      </c>
      <c r="F79" s="2">
        <f t="shared" ref="F79" si="48">F80+F81+F82+F83+F85</f>
        <v>0</v>
      </c>
      <c r="G79" s="5">
        <f t="shared" si="34"/>
        <v>0</v>
      </c>
      <c r="H79" s="2">
        <f t="shared" ref="H79" si="49">H80+H81+H82+H83+H85</f>
        <v>0</v>
      </c>
      <c r="I79" s="2">
        <f t="shared" ref="I79" si="50">I80+I81+I82+I83+I85</f>
        <v>0</v>
      </c>
      <c r="J79" s="36"/>
      <c r="K79" s="36"/>
      <c r="L79" s="36"/>
    </row>
    <row r="80" spans="1:12" ht="18.75" x14ac:dyDescent="0.25">
      <c r="A80" s="221" t="s">
        <v>6</v>
      </c>
      <c r="B80" s="119">
        <v>244</v>
      </c>
      <c r="C80" s="119">
        <v>296</v>
      </c>
      <c r="D80" s="5">
        <f t="shared" si="0"/>
        <v>0</v>
      </c>
      <c r="E80" s="2">
        <v>0</v>
      </c>
      <c r="F80" s="2">
        <v>0</v>
      </c>
      <c r="G80" s="5">
        <f t="shared" si="34"/>
        <v>0</v>
      </c>
      <c r="H80" s="2">
        <v>0</v>
      </c>
      <c r="I80" s="2">
        <v>0</v>
      </c>
      <c r="J80" s="36"/>
      <c r="K80" s="36"/>
      <c r="L80" s="36"/>
    </row>
    <row r="81" spans="1:12" ht="18.75" x14ac:dyDescent="0.25">
      <c r="A81" s="221"/>
      <c r="B81" s="119">
        <v>340</v>
      </c>
      <c r="C81" s="119">
        <v>296</v>
      </c>
      <c r="D81" s="5">
        <f t="shared" si="0"/>
        <v>0</v>
      </c>
      <c r="E81" s="2">
        <v>0</v>
      </c>
      <c r="F81" s="2">
        <v>0</v>
      </c>
      <c r="G81" s="5">
        <f t="shared" si="34"/>
        <v>0</v>
      </c>
      <c r="H81" s="2">
        <v>0</v>
      </c>
      <c r="I81" s="2">
        <v>0</v>
      </c>
      <c r="J81" s="36"/>
      <c r="K81" s="36"/>
      <c r="L81" s="36"/>
    </row>
    <row r="82" spans="1:12" ht="18.75" x14ac:dyDescent="0.25">
      <c r="A82" s="221"/>
      <c r="B82" s="119">
        <v>350</v>
      </c>
      <c r="C82" s="119">
        <v>296</v>
      </c>
      <c r="D82" s="5">
        <f t="shared" si="0"/>
        <v>0</v>
      </c>
      <c r="E82" s="2">
        <v>0</v>
      </c>
      <c r="F82" s="2">
        <v>0</v>
      </c>
      <c r="G82" s="5">
        <f t="shared" si="34"/>
        <v>0</v>
      </c>
      <c r="H82" s="2">
        <v>0</v>
      </c>
      <c r="I82" s="2">
        <v>0</v>
      </c>
      <c r="J82" s="36"/>
      <c r="K82" s="36"/>
      <c r="L82" s="36"/>
    </row>
    <row r="83" spans="1:12" ht="18.75" x14ac:dyDescent="0.25">
      <c r="A83" s="221"/>
      <c r="B83" s="119">
        <v>360</v>
      </c>
      <c r="C83" s="119">
        <v>296</v>
      </c>
      <c r="D83" s="5">
        <f t="shared" si="0"/>
        <v>0</v>
      </c>
      <c r="E83" s="2">
        <v>0</v>
      </c>
      <c r="F83" s="2">
        <v>0</v>
      </c>
      <c r="G83" s="5">
        <f t="shared" si="34"/>
        <v>0</v>
      </c>
      <c r="H83" s="2">
        <v>0</v>
      </c>
      <c r="I83" s="2">
        <v>0</v>
      </c>
      <c r="J83" s="36"/>
      <c r="K83" s="36"/>
      <c r="L83" s="36"/>
    </row>
    <row r="84" spans="1:12" ht="18.75" x14ac:dyDescent="0.25">
      <c r="A84" s="221"/>
      <c r="B84" s="215">
        <v>831</v>
      </c>
      <c r="C84" s="215">
        <v>296</v>
      </c>
      <c r="D84" s="5">
        <f t="shared" ref="D84" si="51">E84+F84</f>
        <v>0</v>
      </c>
      <c r="E84" s="2">
        <v>0</v>
      </c>
      <c r="F84" s="2">
        <v>0</v>
      </c>
      <c r="G84" s="5">
        <f t="shared" ref="G84" si="52">H84+I84</f>
        <v>0</v>
      </c>
      <c r="H84" s="2">
        <v>0</v>
      </c>
      <c r="I84" s="2">
        <v>0</v>
      </c>
      <c r="J84" s="36"/>
      <c r="K84" s="36"/>
      <c r="L84" s="36"/>
    </row>
    <row r="85" spans="1:12" ht="18.75" x14ac:dyDescent="0.25">
      <c r="A85" s="221"/>
      <c r="B85" s="119">
        <v>853</v>
      </c>
      <c r="C85" s="119">
        <v>296</v>
      </c>
      <c r="D85" s="5">
        <f t="shared" ref="D85:D109" si="53">E85+F85</f>
        <v>0</v>
      </c>
      <c r="E85" s="2">
        <v>0</v>
      </c>
      <c r="F85" s="2">
        <v>0</v>
      </c>
      <c r="G85" s="5">
        <f t="shared" si="34"/>
        <v>0</v>
      </c>
      <c r="H85" s="2">
        <v>0</v>
      </c>
      <c r="I85" s="2">
        <v>0</v>
      </c>
      <c r="J85" s="36"/>
      <c r="K85" s="36"/>
      <c r="L85" s="36"/>
    </row>
    <row r="86" spans="1:12" ht="57.6" customHeight="1" x14ac:dyDescent="0.25">
      <c r="A86" s="115" t="s">
        <v>35</v>
      </c>
      <c r="B86" s="119" t="s">
        <v>5</v>
      </c>
      <c r="C86" s="119">
        <v>297</v>
      </c>
      <c r="D86" s="5">
        <f>E86+F86</f>
        <v>0</v>
      </c>
      <c r="E86" s="2">
        <f>E87+E89+E90+E88</f>
        <v>0</v>
      </c>
      <c r="F86" s="2">
        <f>F87+F89+F90+F88</f>
        <v>0</v>
      </c>
      <c r="G86" s="2">
        <f>G87+G89+G90+G88</f>
        <v>0</v>
      </c>
      <c r="H86" s="2">
        <f>H87+H89+H90+H88</f>
        <v>0</v>
      </c>
      <c r="I86" s="2">
        <f>I87+I89+I90+I88</f>
        <v>0</v>
      </c>
      <c r="J86" s="36"/>
      <c r="K86" s="36"/>
      <c r="L86" s="36"/>
    </row>
    <row r="87" spans="1:12" ht="18.75" x14ac:dyDescent="0.25">
      <c r="A87" s="324" t="s">
        <v>6</v>
      </c>
      <c r="B87" s="119">
        <v>244</v>
      </c>
      <c r="C87" s="119">
        <v>297</v>
      </c>
      <c r="D87" s="5">
        <f t="shared" si="53"/>
        <v>0</v>
      </c>
      <c r="E87" s="2">
        <v>0</v>
      </c>
      <c r="F87" s="2">
        <v>0</v>
      </c>
      <c r="G87" s="5">
        <f>H87+I87</f>
        <v>0</v>
      </c>
      <c r="H87" s="2">
        <v>0</v>
      </c>
      <c r="I87" s="2">
        <v>0</v>
      </c>
      <c r="J87" s="36"/>
      <c r="K87" s="36"/>
      <c r="L87" s="36"/>
    </row>
    <row r="88" spans="1:12" ht="18.75" x14ac:dyDescent="0.25">
      <c r="A88" s="325"/>
      <c r="B88" s="217">
        <v>613</v>
      </c>
      <c r="C88" s="217">
        <v>297</v>
      </c>
      <c r="D88" s="5">
        <f>E88+F88</f>
        <v>0</v>
      </c>
      <c r="E88" s="2">
        <v>0</v>
      </c>
      <c r="F88" s="2">
        <v>0</v>
      </c>
      <c r="G88" s="5">
        <f>H88+I88</f>
        <v>0</v>
      </c>
      <c r="H88" s="2">
        <v>0</v>
      </c>
      <c r="I88" s="2">
        <v>0</v>
      </c>
      <c r="J88" s="36"/>
      <c r="K88" s="36"/>
      <c r="L88" s="36"/>
    </row>
    <row r="89" spans="1:12" ht="18.75" x14ac:dyDescent="0.25">
      <c r="A89" s="325"/>
      <c r="B89" s="192">
        <v>831</v>
      </c>
      <c r="C89" s="192">
        <v>297</v>
      </c>
      <c r="D89" s="5">
        <f t="shared" si="53"/>
        <v>0</v>
      </c>
      <c r="E89" s="2">
        <v>0</v>
      </c>
      <c r="F89" s="2">
        <v>0</v>
      </c>
      <c r="G89" s="5">
        <f>H89+I89</f>
        <v>0</v>
      </c>
      <c r="H89" s="2">
        <v>0</v>
      </c>
      <c r="I89" s="2">
        <v>0</v>
      </c>
      <c r="J89" s="36"/>
      <c r="K89" s="36"/>
      <c r="L89" s="36"/>
    </row>
    <row r="90" spans="1:12" ht="18.75" x14ac:dyDescent="0.25">
      <c r="A90" s="326"/>
      <c r="B90" s="119">
        <v>853</v>
      </c>
      <c r="C90" s="119">
        <v>297</v>
      </c>
      <c r="D90" s="5">
        <f t="shared" si="53"/>
        <v>0</v>
      </c>
      <c r="E90" s="2">
        <v>0</v>
      </c>
      <c r="F90" s="2">
        <v>0</v>
      </c>
      <c r="G90" s="5">
        <f t="shared" si="34"/>
        <v>0</v>
      </c>
      <c r="H90" s="2">
        <v>0</v>
      </c>
      <c r="I90" s="2">
        <v>0</v>
      </c>
      <c r="J90" s="36"/>
      <c r="K90" s="36"/>
      <c r="L90" s="36"/>
    </row>
    <row r="91" spans="1:12" ht="56.25" x14ac:dyDescent="0.25">
      <c r="A91" s="115" t="s">
        <v>59</v>
      </c>
      <c r="B91" s="119" t="s">
        <v>5</v>
      </c>
      <c r="C91" s="119">
        <v>300</v>
      </c>
      <c r="D91" s="5">
        <f t="shared" si="53"/>
        <v>9401903.6199999992</v>
      </c>
      <c r="E91" s="2">
        <f>E93+E95+E94</f>
        <v>9401903.6199999992</v>
      </c>
      <c r="F91" s="2">
        <f>F93+F95+F94</f>
        <v>0</v>
      </c>
      <c r="G91" s="5">
        <f t="shared" si="34"/>
        <v>9401903.6199999992</v>
      </c>
      <c r="H91" s="2">
        <f>H93+H95+H94</f>
        <v>9401903.6199999992</v>
      </c>
      <c r="I91" s="2">
        <f>I93+I95+I94</f>
        <v>0</v>
      </c>
      <c r="J91" s="36"/>
      <c r="K91" s="36"/>
      <c r="L91" s="36"/>
    </row>
    <row r="92" spans="1:12" ht="18.75" x14ac:dyDescent="0.25">
      <c r="A92" s="115" t="s">
        <v>9</v>
      </c>
      <c r="B92" s="119"/>
      <c r="C92" s="119"/>
      <c r="D92" s="5"/>
      <c r="E92" s="2"/>
      <c r="F92" s="2"/>
      <c r="G92" s="5"/>
      <c r="H92" s="2"/>
      <c r="I92" s="2"/>
      <c r="J92" s="36"/>
      <c r="K92" s="36"/>
      <c r="L92" s="36"/>
    </row>
    <row r="93" spans="1:12" ht="56.25" x14ac:dyDescent="0.25">
      <c r="A93" s="115" t="s">
        <v>36</v>
      </c>
      <c r="B93" s="119">
        <v>244</v>
      </c>
      <c r="C93" s="119">
        <v>310</v>
      </c>
      <c r="D93" s="5">
        <f t="shared" si="53"/>
        <v>0</v>
      </c>
      <c r="E93" s="2">
        <v>0</v>
      </c>
      <c r="F93" s="2">
        <v>0</v>
      </c>
      <c r="G93" s="5">
        <f t="shared" ref="G93:G95" si="54">H93+I93</f>
        <v>0</v>
      </c>
      <c r="H93" s="2">
        <v>0</v>
      </c>
      <c r="I93" s="2">
        <v>0</v>
      </c>
      <c r="J93" s="36"/>
      <c r="K93" s="36"/>
      <c r="L93" s="36"/>
    </row>
    <row r="94" spans="1:12" ht="75" x14ac:dyDescent="0.25">
      <c r="A94" s="115" t="s">
        <v>68</v>
      </c>
      <c r="B94" s="119">
        <v>244</v>
      </c>
      <c r="C94" s="119">
        <v>320</v>
      </c>
      <c r="D94" s="5">
        <f t="shared" si="53"/>
        <v>0</v>
      </c>
      <c r="E94" s="2">
        <v>0</v>
      </c>
      <c r="F94" s="2">
        <v>0</v>
      </c>
      <c r="G94" s="5">
        <f t="shared" si="54"/>
        <v>0</v>
      </c>
      <c r="H94" s="2">
        <v>0</v>
      </c>
      <c r="I94" s="2">
        <v>0</v>
      </c>
      <c r="J94" s="36"/>
      <c r="K94" s="36"/>
      <c r="L94" s="36"/>
    </row>
    <row r="95" spans="1:12" ht="75" x14ac:dyDescent="0.25">
      <c r="A95" s="115" t="s">
        <v>60</v>
      </c>
      <c r="B95" s="119" t="s">
        <v>5</v>
      </c>
      <c r="C95" s="119">
        <v>340</v>
      </c>
      <c r="D95" s="5">
        <f t="shared" si="53"/>
        <v>9401903.6199999992</v>
      </c>
      <c r="E95" s="2">
        <f>E97+E98+E99+E100+E101+E102+E104+E103</f>
        <v>9401903.6199999992</v>
      </c>
      <c r="F95" s="2">
        <f>F97+F98+F99+F100+F101+F102+F104</f>
        <v>0</v>
      </c>
      <c r="G95" s="5">
        <f t="shared" si="54"/>
        <v>9401903.6199999992</v>
      </c>
      <c r="H95" s="2">
        <f>H97+H98+H99+H100+H101+H102+H104+H103</f>
        <v>9401903.6199999992</v>
      </c>
      <c r="I95" s="2">
        <f>I97+I98+I99+I100+I101+I102+I104</f>
        <v>0</v>
      </c>
      <c r="J95" s="36"/>
      <c r="K95" s="36"/>
      <c r="L95" s="36"/>
    </row>
    <row r="96" spans="1:12" ht="18.75" x14ac:dyDescent="0.25">
      <c r="A96" s="115" t="s">
        <v>6</v>
      </c>
      <c r="B96" s="119"/>
      <c r="C96" s="119"/>
      <c r="D96" s="5"/>
      <c r="E96" s="2"/>
      <c r="F96" s="2"/>
      <c r="G96" s="5"/>
      <c r="H96" s="2"/>
      <c r="I96" s="2"/>
      <c r="J96" s="36"/>
      <c r="K96" s="36"/>
      <c r="L96" s="36"/>
    </row>
    <row r="97" spans="1:12" ht="131.25" x14ac:dyDescent="0.25">
      <c r="A97" s="115" t="s">
        <v>37</v>
      </c>
      <c r="B97" s="119">
        <v>244</v>
      </c>
      <c r="C97" s="119">
        <v>341</v>
      </c>
      <c r="D97" s="5">
        <f t="shared" si="53"/>
        <v>0</v>
      </c>
      <c r="E97" s="2">
        <v>0</v>
      </c>
      <c r="F97" s="2">
        <v>0</v>
      </c>
      <c r="G97" s="5">
        <f t="shared" ref="G97:G105" si="55">H97+I97</f>
        <v>0</v>
      </c>
      <c r="H97" s="2">
        <v>0</v>
      </c>
      <c r="I97" s="2">
        <v>0</v>
      </c>
      <c r="J97" s="36"/>
      <c r="K97" s="36"/>
      <c r="L97" s="36"/>
    </row>
    <row r="98" spans="1:12" ht="56.25" x14ac:dyDescent="0.25">
      <c r="A98" s="115" t="s">
        <v>38</v>
      </c>
      <c r="B98" s="119">
        <v>244</v>
      </c>
      <c r="C98" s="119">
        <v>342</v>
      </c>
      <c r="D98" s="5">
        <f t="shared" si="53"/>
        <v>0</v>
      </c>
      <c r="E98" s="2">
        <v>0</v>
      </c>
      <c r="F98" s="2">
        <v>0</v>
      </c>
      <c r="G98" s="5">
        <f t="shared" si="55"/>
        <v>0</v>
      </c>
      <c r="H98" s="2">
        <v>0</v>
      </c>
      <c r="I98" s="2">
        <v>0</v>
      </c>
      <c r="J98" s="36"/>
      <c r="K98" s="36"/>
      <c r="L98" s="36"/>
    </row>
    <row r="99" spans="1:12" ht="75" x14ac:dyDescent="0.25">
      <c r="A99" s="115" t="s">
        <v>39</v>
      </c>
      <c r="B99" s="119">
        <v>244</v>
      </c>
      <c r="C99" s="119">
        <v>343</v>
      </c>
      <c r="D99" s="5">
        <f t="shared" si="53"/>
        <v>290000</v>
      </c>
      <c r="E99" s="2">
        <v>290000</v>
      </c>
      <c r="F99" s="2">
        <v>0</v>
      </c>
      <c r="G99" s="5">
        <f t="shared" si="55"/>
        <v>290000</v>
      </c>
      <c r="H99" s="2">
        <v>290000</v>
      </c>
      <c r="I99" s="2">
        <v>0</v>
      </c>
      <c r="J99" s="36"/>
      <c r="K99" s="36"/>
      <c r="L99" s="36"/>
    </row>
    <row r="100" spans="1:12" ht="75" x14ac:dyDescent="0.25">
      <c r="A100" s="115" t="s">
        <v>40</v>
      </c>
      <c r="B100" s="119">
        <v>244</v>
      </c>
      <c r="C100" s="119">
        <v>344</v>
      </c>
      <c r="D100" s="5">
        <f t="shared" si="53"/>
        <v>200000</v>
      </c>
      <c r="E100" s="2">
        <v>200000</v>
      </c>
      <c r="F100" s="2">
        <v>0</v>
      </c>
      <c r="G100" s="5">
        <f t="shared" si="55"/>
        <v>200000</v>
      </c>
      <c r="H100" s="2">
        <v>200000</v>
      </c>
      <c r="I100" s="2">
        <v>0</v>
      </c>
      <c r="J100" s="36"/>
      <c r="K100" s="36"/>
      <c r="L100" s="36"/>
    </row>
    <row r="101" spans="1:12" ht="56.25" x14ac:dyDescent="0.25">
      <c r="A101" s="115" t="s">
        <v>41</v>
      </c>
      <c r="B101" s="119">
        <v>244</v>
      </c>
      <c r="C101" s="119">
        <v>345</v>
      </c>
      <c r="D101" s="5">
        <f t="shared" si="53"/>
        <v>334245</v>
      </c>
      <c r="E101" s="2">
        <v>334245</v>
      </c>
      <c r="F101" s="2">
        <v>0</v>
      </c>
      <c r="G101" s="5">
        <f t="shared" si="55"/>
        <v>334245</v>
      </c>
      <c r="H101" s="2">
        <v>334245</v>
      </c>
      <c r="I101" s="2">
        <v>0</v>
      </c>
      <c r="J101" s="36"/>
      <c r="K101" s="36"/>
      <c r="L101" s="36"/>
    </row>
    <row r="102" spans="1:12" ht="75" x14ac:dyDescent="0.25">
      <c r="A102" s="115" t="s">
        <v>42</v>
      </c>
      <c r="B102" s="119">
        <v>244</v>
      </c>
      <c r="C102" s="119">
        <v>346</v>
      </c>
      <c r="D102" s="5">
        <f t="shared" si="53"/>
        <v>8428958.6199999992</v>
      </c>
      <c r="E102" s="2">
        <v>8428958.6199999992</v>
      </c>
      <c r="F102" s="2">
        <v>0</v>
      </c>
      <c r="G102" s="5">
        <f t="shared" si="55"/>
        <v>8428958.6199999992</v>
      </c>
      <c r="H102" s="2">
        <v>8428958.6199999992</v>
      </c>
      <c r="I102" s="2">
        <v>0</v>
      </c>
      <c r="J102" s="36"/>
      <c r="K102" s="36"/>
      <c r="L102" s="36"/>
    </row>
    <row r="103" spans="1:12" ht="112.5" x14ac:dyDescent="0.25">
      <c r="A103" s="170" t="s">
        <v>346</v>
      </c>
      <c r="B103" s="171">
        <v>244</v>
      </c>
      <c r="C103" s="171">
        <v>347</v>
      </c>
      <c r="D103" s="5">
        <f>E103+F103</f>
        <v>0</v>
      </c>
      <c r="E103" s="2">
        <v>0</v>
      </c>
      <c r="F103" s="2">
        <v>0</v>
      </c>
      <c r="G103" s="5">
        <f>H103+I103</f>
        <v>0</v>
      </c>
      <c r="H103" s="2">
        <v>0</v>
      </c>
      <c r="I103" s="2">
        <v>0</v>
      </c>
      <c r="J103" s="36"/>
      <c r="K103" s="36"/>
      <c r="L103" s="36"/>
    </row>
    <row r="104" spans="1:12" ht="112.5" x14ac:dyDescent="0.25">
      <c r="A104" s="115" t="s">
        <v>43</v>
      </c>
      <c r="B104" s="119">
        <v>244</v>
      </c>
      <c r="C104" s="119">
        <v>349</v>
      </c>
      <c r="D104" s="5">
        <f t="shared" si="53"/>
        <v>148700</v>
      </c>
      <c r="E104" s="2">
        <v>148700</v>
      </c>
      <c r="F104" s="2">
        <v>0</v>
      </c>
      <c r="G104" s="5">
        <f t="shared" si="55"/>
        <v>148700</v>
      </c>
      <c r="H104" s="2">
        <v>148700</v>
      </c>
      <c r="I104" s="2">
        <v>0</v>
      </c>
      <c r="J104" s="36"/>
      <c r="K104" s="36"/>
      <c r="L104" s="36"/>
    </row>
    <row r="105" spans="1:12" ht="56.25" x14ac:dyDescent="0.25">
      <c r="A105" s="115" t="s">
        <v>67</v>
      </c>
      <c r="B105" s="119" t="s">
        <v>5</v>
      </c>
      <c r="C105" s="119" t="s">
        <v>5</v>
      </c>
      <c r="D105" s="5">
        <f t="shared" si="53"/>
        <v>0</v>
      </c>
      <c r="E105" s="2">
        <f t="shared" ref="E105" si="56">E107+E108+E109</f>
        <v>0</v>
      </c>
      <c r="F105" s="2">
        <f t="shared" ref="F105" si="57">F107+F108+F109</f>
        <v>0</v>
      </c>
      <c r="G105" s="5">
        <f t="shared" si="55"/>
        <v>0</v>
      </c>
      <c r="H105" s="2">
        <f t="shared" ref="H105" si="58">H107+H108+H109</f>
        <v>0</v>
      </c>
      <c r="I105" s="2">
        <f t="shared" ref="I105" si="59">I107+I108+I109</f>
        <v>0</v>
      </c>
      <c r="J105" s="36"/>
      <c r="K105" s="36"/>
      <c r="L105" s="36"/>
    </row>
    <row r="106" spans="1:12" ht="18.600000000000001" customHeight="1" x14ac:dyDescent="0.25">
      <c r="A106" s="115" t="s">
        <v>6</v>
      </c>
      <c r="B106" s="119"/>
      <c r="C106" s="119"/>
      <c r="D106" s="5"/>
      <c r="E106" s="2"/>
      <c r="F106" s="2"/>
      <c r="G106" s="5"/>
      <c r="H106" s="2"/>
      <c r="I106" s="2"/>
      <c r="J106" s="36"/>
      <c r="K106" s="36"/>
      <c r="L106" s="36"/>
    </row>
    <row r="107" spans="1:12" ht="18.75" x14ac:dyDescent="0.25">
      <c r="A107" s="115" t="s">
        <v>194</v>
      </c>
      <c r="B107" s="119">
        <v>180</v>
      </c>
      <c r="C107" s="119" t="s">
        <v>5</v>
      </c>
      <c r="D107" s="5">
        <f t="shared" si="53"/>
        <v>0</v>
      </c>
      <c r="E107" s="2"/>
      <c r="F107" s="2"/>
      <c r="G107" s="5">
        <f t="shared" ref="G107:G109" si="60">H107+I107</f>
        <v>0</v>
      </c>
      <c r="H107" s="2"/>
      <c r="I107" s="2"/>
      <c r="J107" s="36"/>
      <c r="K107" s="36"/>
      <c r="L107" s="36"/>
    </row>
    <row r="108" spans="1:12" ht="56.25" x14ac:dyDescent="0.25">
      <c r="A108" s="115" t="s">
        <v>195</v>
      </c>
      <c r="B108" s="119">
        <v>180</v>
      </c>
      <c r="C108" s="119" t="s">
        <v>5</v>
      </c>
      <c r="D108" s="5">
        <f t="shared" si="53"/>
        <v>0</v>
      </c>
      <c r="E108" s="2"/>
      <c r="F108" s="2"/>
      <c r="G108" s="5">
        <f t="shared" si="60"/>
        <v>0</v>
      </c>
      <c r="H108" s="2"/>
      <c r="I108" s="2"/>
      <c r="J108" s="36"/>
      <c r="K108" s="36"/>
      <c r="L108" s="36"/>
    </row>
    <row r="109" spans="1:12" ht="57" thickBot="1" x14ac:dyDescent="0.3">
      <c r="A109" s="32" t="s">
        <v>196</v>
      </c>
      <c r="B109" s="33">
        <v>180</v>
      </c>
      <c r="C109" s="33" t="s">
        <v>5</v>
      </c>
      <c r="D109" s="34">
        <f t="shared" si="53"/>
        <v>0</v>
      </c>
      <c r="E109" s="35"/>
      <c r="F109" s="35"/>
      <c r="G109" s="34">
        <f t="shared" si="60"/>
        <v>0</v>
      </c>
      <c r="H109" s="35"/>
      <c r="I109" s="35"/>
      <c r="J109" s="36"/>
      <c r="K109" s="36"/>
      <c r="L109" s="36"/>
    </row>
    <row r="110" spans="1:12" ht="18.75" x14ac:dyDescent="0.25">
      <c r="A110" s="15"/>
      <c r="B110" s="19"/>
      <c r="C110" s="19"/>
      <c r="D110" s="36"/>
      <c r="E110" s="36"/>
      <c r="F110" s="36"/>
    </row>
    <row r="111" spans="1:12" x14ac:dyDescent="0.25">
      <c r="A111" s="11"/>
    </row>
    <row r="112" spans="1:12" ht="37.5" x14ac:dyDescent="0.3">
      <c r="A112" s="29" t="s">
        <v>52</v>
      </c>
      <c r="B112" s="224"/>
      <c r="C112" s="224"/>
      <c r="D112" s="10"/>
      <c r="E112" s="224" t="s">
        <v>499</v>
      </c>
      <c r="F112" s="224"/>
    </row>
    <row r="113" spans="1:16" ht="18.75" x14ac:dyDescent="0.3">
      <c r="A113" s="29"/>
      <c r="B113" s="223" t="s">
        <v>53</v>
      </c>
      <c r="C113" s="223"/>
      <c r="D113" s="10"/>
      <c r="E113" s="223" t="s">
        <v>54</v>
      </c>
      <c r="F113" s="223"/>
    </row>
    <row r="114" spans="1:16" ht="18.75" x14ac:dyDescent="0.3">
      <c r="A114" s="29"/>
      <c r="B114" s="10"/>
      <c r="C114" s="10"/>
      <c r="D114" s="10"/>
      <c r="E114" s="10"/>
      <c r="F114" s="10"/>
    </row>
    <row r="115" spans="1:16" ht="37.5" x14ac:dyDescent="0.3">
      <c r="A115" s="29" t="s">
        <v>55</v>
      </c>
      <c r="B115" s="224"/>
      <c r="C115" s="224"/>
      <c r="D115" s="10"/>
      <c r="E115" s="224" t="s">
        <v>500</v>
      </c>
      <c r="F115" s="224"/>
    </row>
    <row r="116" spans="1:16" ht="18.75" x14ac:dyDescent="0.3">
      <c r="A116" s="29"/>
      <c r="B116" s="223" t="s">
        <v>53</v>
      </c>
      <c r="C116" s="223"/>
      <c r="D116" s="10"/>
      <c r="E116" s="223" t="s">
        <v>54</v>
      </c>
      <c r="F116" s="223"/>
    </row>
    <row r="117" spans="1:16" ht="18.75" x14ac:dyDescent="0.3">
      <c r="A117" s="29"/>
      <c r="B117" s="116"/>
      <c r="C117" s="116"/>
      <c r="D117" s="10"/>
      <c r="E117" s="116"/>
      <c r="F117" s="116"/>
    </row>
    <row r="118" spans="1:16" ht="18.75" x14ac:dyDescent="0.3">
      <c r="A118" s="29" t="s">
        <v>56</v>
      </c>
      <c r="B118" s="224"/>
      <c r="C118" s="224"/>
      <c r="D118" s="10"/>
      <c r="E118" s="224" t="s">
        <v>500</v>
      </c>
      <c r="F118" s="224"/>
    </row>
    <row r="119" spans="1:16" ht="18.75" x14ac:dyDescent="0.3">
      <c r="A119" s="29"/>
      <c r="B119" s="223" t="s">
        <v>53</v>
      </c>
      <c r="C119" s="223"/>
      <c r="D119" s="10"/>
      <c r="E119" s="223" t="s">
        <v>54</v>
      </c>
      <c r="F119" s="223"/>
    </row>
    <row r="120" spans="1:16" ht="18.75" x14ac:dyDescent="0.3">
      <c r="A120" s="29" t="s">
        <v>57</v>
      </c>
      <c r="B120" s="10"/>
      <c r="C120" s="10"/>
      <c r="D120" s="10"/>
      <c r="E120" s="10"/>
      <c r="F120" s="10"/>
    </row>
    <row r="121" spans="1:16" ht="18.75" x14ac:dyDescent="0.3">
      <c r="A121" s="222" t="s">
        <v>44</v>
      </c>
      <c r="B121" s="222"/>
      <c r="C121" s="10"/>
      <c r="D121" s="10"/>
      <c r="E121" s="10"/>
      <c r="F121" s="10"/>
    </row>
    <row r="122" spans="1:16" ht="18.75" x14ac:dyDescent="0.25">
      <c r="A122" s="321" t="s">
        <v>192</v>
      </c>
      <c r="B122" s="321"/>
      <c r="C122" s="321"/>
      <c r="D122" s="321"/>
      <c r="E122" s="321"/>
      <c r="F122" s="321"/>
      <c r="G122" s="321"/>
      <c r="H122" s="321"/>
      <c r="I122" s="321"/>
      <c r="K122" s="320" t="s">
        <v>233</v>
      </c>
      <c r="L122" s="320"/>
      <c r="M122" s="320"/>
      <c r="N122" s="320" t="s">
        <v>234</v>
      </c>
      <c r="O122" s="320"/>
      <c r="P122" s="320"/>
    </row>
    <row r="123" spans="1:16" ht="112.5" x14ac:dyDescent="0.25">
      <c r="A123" s="54" t="s">
        <v>69</v>
      </c>
      <c r="B123" s="58" t="s">
        <v>5</v>
      </c>
      <c r="C123" s="58" t="s">
        <v>5</v>
      </c>
      <c r="D123" s="5">
        <f t="shared" ref="D123:D124" si="61">E123+F123</f>
        <v>0</v>
      </c>
      <c r="E123" s="2"/>
      <c r="F123" s="4"/>
      <c r="G123" s="5">
        <f t="shared" ref="G123:G124" si="62">H123+I123</f>
        <v>0</v>
      </c>
      <c r="H123" s="2"/>
      <c r="I123" s="4"/>
      <c r="J123" s="36"/>
      <c r="K123" s="71" t="s">
        <v>230</v>
      </c>
      <c r="L123" s="71" t="s">
        <v>231</v>
      </c>
      <c r="M123" s="71" t="s">
        <v>232</v>
      </c>
      <c r="N123" s="71" t="s">
        <v>230</v>
      </c>
      <c r="O123" s="71" t="s">
        <v>231</v>
      </c>
      <c r="P123" s="71" t="s">
        <v>232</v>
      </c>
    </row>
    <row r="124" spans="1:16" ht="18.75" x14ac:dyDescent="0.25">
      <c r="A124" s="54" t="s">
        <v>7</v>
      </c>
      <c r="B124" s="58" t="s">
        <v>5</v>
      </c>
      <c r="C124" s="58">
        <v>900</v>
      </c>
      <c r="D124" s="5">
        <f t="shared" si="61"/>
        <v>84899736.810000017</v>
      </c>
      <c r="E124" s="2">
        <f>E127+E157+E172+E202</f>
        <v>84899736.810000017</v>
      </c>
      <c r="F124" s="2">
        <f>F127+F157</f>
        <v>0</v>
      </c>
      <c r="G124" s="5">
        <f t="shared" si="62"/>
        <v>84899736.810000017</v>
      </c>
      <c r="H124" s="2">
        <f>H127+H157+H172+H202</f>
        <v>84899736.810000017</v>
      </c>
      <c r="I124" s="2">
        <f>I127+I157</f>
        <v>0</v>
      </c>
      <c r="J124" s="36"/>
      <c r="K124" s="72">
        <f>E26+E27+E28+E30+E36+E54+E55+E56+E63+E66+E67+E69+E73+E74+E75+E76+E77+E78+E81+E82+E83+E85+E90</f>
        <v>79709284.929999992</v>
      </c>
      <c r="L124" s="72">
        <f>K124+D124</f>
        <v>164609021.74000001</v>
      </c>
      <c r="M124" s="72">
        <f>L124-E20</f>
        <v>0</v>
      </c>
      <c r="N124" s="72">
        <f>H26+H27+H28+H30+H36+H54+H55+H56+H63+H66+H67+H69+H73+H74+H75+H76+H77+H78+H81+H82+H83+H85+H90</f>
        <v>79709284.929999992</v>
      </c>
      <c r="O124" s="72">
        <f>N124+G124</f>
        <v>164609021.74000001</v>
      </c>
      <c r="P124" s="72">
        <f>O124-H20</f>
        <v>0</v>
      </c>
    </row>
    <row r="125" spans="1:16" ht="18.75" x14ac:dyDescent="0.25">
      <c r="A125" s="54" t="s">
        <v>6</v>
      </c>
      <c r="B125" s="58"/>
      <c r="C125" s="58"/>
      <c r="D125" s="5"/>
      <c r="E125" s="2"/>
      <c r="F125" s="4"/>
      <c r="G125" s="5"/>
      <c r="H125" s="2"/>
      <c r="I125" s="4"/>
      <c r="J125" s="36"/>
      <c r="K125" s="36"/>
      <c r="L125" s="36"/>
    </row>
    <row r="126" spans="1:16" ht="17.45" customHeight="1" x14ac:dyDescent="0.25">
      <c r="A126" s="322" t="s">
        <v>200</v>
      </c>
      <c r="B126" s="323"/>
      <c r="C126" s="323"/>
      <c r="D126" s="323"/>
      <c r="E126" s="323"/>
      <c r="F126" s="323"/>
      <c r="G126" s="323"/>
      <c r="H126" s="323"/>
      <c r="I126" s="323"/>
      <c r="J126" s="76"/>
      <c r="K126" s="76"/>
      <c r="L126" s="76"/>
    </row>
    <row r="127" spans="1:16" ht="18.75" x14ac:dyDescent="0.25">
      <c r="A127" s="54" t="s">
        <v>8</v>
      </c>
      <c r="B127" s="58" t="s">
        <v>5</v>
      </c>
      <c r="C127" s="58">
        <v>200</v>
      </c>
      <c r="D127" s="5">
        <f t="shared" ref="D127:D160" si="63">E127+F127</f>
        <v>0</v>
      </c>
      <c r="E127" s="2">
        <f>E129+E132+E153</f>
        <v>0</v>
      </c>
      <c r="F127" s="2">
        <f>F129+F132+F153</f>
        <v>0</v>
      </c>
      <c r="G127" s="5">
        <f t="shared" ref="G127" si="64">H127+I127</f>
        <v>0</v>
      </c>
      <c r="H127" s="2">
        <f>H129+H132+H153</f>
        <v>0</v>
      </c>
      <c r="I127" s="2">
        <f>I129+I132+I153</f>
        <v>0</v>
      </c>
      <c r="J127" s="36"/>
      <c r="K127" s="36"/>
      <c r="L127" s="36"/>
    </row>
    <row r="128" spans="1:16" ht="18.75" x14ac:dyDescent="0.25">
      <c r="A128" s="54" t="s">
        <v>9</v>
      </c>
      <c r="B128" s="58"/>
      <c r="C128" s="58"/>
      <c r="D128" s="5"/>
      <c r="E128" s="2"/>
      <c r="F128" s="2"/>
      <c r="G128" s="5"/>
      <c r="H128" s="2"/>
      <c r="I128" s="2"/>
      <c r="J128" s="36"/>
      <c r="K128" s="36"/>
      <c r="L128" s="36"/>
    </row>
    <row r="129" spans="1:12" ht="75" x14ac:dyDescent="0.25">
      <c r="A129" s="54" t="s">
        <v>10</v>
      </c>
      <c r="B129" s="58" t="s">
        <v>5</v>
      </c>
      <c r="C129" s="58">
        <v>210</v>
      </c>
      <c r="D129" s="5">
        <f t="shared" si="63"/>
        <v>0</v>
      </c>
      <c r="E129" s="2">
        <f>E131</f>
        <v>0</v>
      </c>
      <c r="F129" s="2">
        <f>F131</f>
        <v>0</v>
      </c>
      <c r="G129" s="5">
        <f t="shared" ref="G129" si="65">H129+I129</f>
        <v>0</v>
      </c>
      <c r="H129" s="2">
        <f>H131</f>
        <v>0</v>
      </c>
      <c r="I129" s="2">
        <f>I131</f>
        <v>0</v>
      </c>
      <c r="J129" s="36"/>
      <c r="K129" s="36"/>
      <c r="L129" s="36"/>
    </row>
    <row r="130" spans="1:12" ht="18.75" x14ac:dyDescent="0.25">
      <c r="A130" s="54" t="s">
        <v>9</v>
      </c>
      <c r="B130" s="58"/>
      <c r="C130" s="58"/>
      <c r="D130" s="5"/>
      <c r="E130" s="2"/>
      <c r="F130" s="2"/>
      <c r="G130" s="5"/>
      <c r="H130" s="2"/>
      <c r="I130" s="2"/>
      <c r="J130" s="36"/>
      <c r="K130" s="36"/>
      <c r="L130" s="36"/>
    </row>
    <row r="131" spans="1:12" ht="93.75" x14ac:dyDescent="0.25">
      <c r="A131" s="54" t="s">
        <v>201</v>
      </c>
      <c r="B131" s="58">
        <v>244</v>
      </c>
      <c r="C131" s="58">
        <v>214</v>
      </c>
      <c r="D131" s="5">
        <f>E131+F131</f>
        <v>0</v>
      </c>
      <c r="E131" s="2"/>
      <c r="F131" s="2"/>
      <c r="G131" s="5">
        <f>H131+I131</f>
        <v>0</v>
      </c>
      <c r="H131" s="2"/>
      <c r="I131" s="2"/>
      <c r="J131" s="36"/>
      <c r="K131" s="36"/>
      <c r="L131" s="36"/>
    </row>
    <row r="132" spans="1:12" ht="37.5" x14ac:dyDescent="0.25">
      <c r="A132" s="54" t="s">
        <v>14</v>
      </c>
      <c r="B132" s="58" t="s">
        <v>5</v>
      </c>
      <c r="C132" s="58">
        <v>220</v>
      </c>
      <c r="D132" s="5">
        <f t="shared" si="63"/>
        <v>0</v>
      </c>
      <c r="E132" s="2">
        <f>E134+E135+E136+E144+E145+E148+E151</f>
        <v>0</v>
      </c>
      <c r="F132" s="2">
        <f>F134+F135+F136+F144+F145+F148+F151</f>
        <v>0</v>
      </c>
      <c r="G132" s="5">
        <f t="shared" ref="G132" si="66">H132+I132</f>
        <v>0</v>
      </c>
      <c r="H132" s="2">
        <f>H134+H135+H136+H144+H145+H148+H151</f>
        <v>0</v>
      </c>
      <c r="I132" s="2">
        <f>I134+I135+I136+I144+I145+I148+I151</f>
        <v>0</v>
      </c>
      <c r="J132" s="36"/>
      <c r="K132" s="36"/>
      <c r="L132" s="36"/>
    </row>
    <row r="133" spans="1:12" ht="18.75" x14ac:dyDescent="0.25">
      <c r="A133" s="54" t="s">
        <v>9</v>
      </c>
      <c r="B133" s="58"/>
      <c r="C133" s="58"/>
      <c r="D133" s="5"/>
      <c r="E133" s="2"/>
      <c r="F133" s="2"/>
      <c r="G133" s="5"/>
      <c r="H133" s="2"/>
      <c r="I133" s="2"/>
      <c r="J133" s="36"/>
      <c r="K133" s="36"/>
      <c r="L133" s="36"/>
    </row>
    <row r="134" spans="1:12" ht="18.75" x14ac:dyDescent="0.25">
      <c r="A134" s="54" t="s">
        <v>15</v>
      </c>
      <c r="B134" s="58">
        <v>244</v>
      </c>
      <c r="C134" s="58">
        <v>221</v>
      </c>
      <c r="D134" s="5">
        <f t="shared" si="63"/>
        <v>0</v>
      </c>
      <c r="E134" s="2">
        <v>0</v>
      </c>
      <c r="F134" s="2"/>
      <c r="G134" s="5">
        <f t="shared" ref="G134:G136" si="67">H134+I134</f>
        <v>0</v>
      </c>
      <c r="H134" s="2"/>
      <c r="I134" s="2"/>
      <c r="J134" s="36"/>
      <c r="K134" s="36"/>
      <c r="L134" s="36"/>
    </row>
    <row r="135" spans="1:12" ht="37.5" x14ac:dyDescent="0.25">
      <c r="A135" s="54" t="s">
        <v>16</v>
      </c>
      <c r="B135" s="58">
        <v>244</v>
      </c>
      <c r="C135" s="58">
        <v>222</v>
      </c>
      <c r="D135" s="5">
        <f t="shared" si="63"/>
        <v>0</v>
      </c>
      <c r="E135" s="2"/>
      <c r="F135" s="2"/>
      <c r="G135" s="5">
        <f t="shared" si="67"/>
        <v>0</v>
      </c>
      <c r="H135" s="2"/>
      <c r="I135" s="2"/>
      <c r="J135" s="36"/>
      <c r="K135" s="36"/>
      <c r="L135" s="36"/>
    </row>
    <row r="136" spans="1:12" ht="37.5" x14ac:dyDescent="0.25">
      <c r="A136" s="54" t="s">
        <v>17</v>
      </c>
      <c r="B136" s="58" t="s">
        <v>5</v>
      </c>
      <c r="C136" s="58">
        <v>223</v>
      </c>
      <c r="D136" s="5">
        <f t="shared" si="63"/>
        <v>0</v>
      </c>
      <c r="E136" s="2">
        <f t="shared" ref="E136:F136" si="68">E138+E139+E140+E141+E142</f>
        <v>0</v>
      </c>
      <c r="F136" s="2">
        <f t="shared" si="68"/>
        <v>0</v>
      </c>
      <c r="G136" s="5">
        <f t="shared" si="67"/>
        <v>0</v>
      </c>
      <c r="H136" s="2">
        <f t="shared" ref="H136:I136" si="69">H138+H139+H140+H141+H142</f>
        <v>0</v>
      </c>
      <c r="I136" s="2">
        <f t="shared" si="69"/>
        <v>0</v>
      </c>
      <c r="J136" s="36"/>
      <c r="K136" s="36"/>
      <c r="L136" s="36"/>
    </row>
    <row r="137" spans="1:12" ht="18.75" x14ac:dyDescent="0.25">
      <c r="A137" s="54" t="s">
        <v>6</v>
      </c>
      <c r="B137" s="58"/>
      <c r="C137" s="58"/>
      <c r="D137" s="5"/>
      <c r="E137" s="2"/>
      <c r="F137" s="2"/>
      <c r="G137" s="5"/>
      <c r="H137" s="2"/>
      <c r="I137" s="2"/>
      <c r="J137" s="36"/>
      <c r="K137" s="36"/>
      <c r="L137" s="36"/>
    </row>
    <row r="138" spans="1:12" ht="56.25" x14ac:dyDescent="0.25">
      <c r="A138" s="54" t="s">
        <v>18</v>
      </c>
      <c r="B138" s="58">
        <v>244</v>
      </c>
      <c r="C138" s="58">
        <v>223</v>
      </c>
      <c r="D138" s="5">
        <f t="shared" si="63"/>
        <v>0</v>
      </c>
      <c r="E138" s="2"/>
      <c r="F138" s="2"/>
      <c r="G138" s="5">
        <f t="shared" ref="G138:G144" si="70">H138+I138</f>
        <v>0</v>
      </c>
      <c r="H138" s="2"/>
      <c r="I138" s="2"/>
      <c r="J138" s="36"/>
      <c r="K138" s="36"/>
      <c r="L138" s="36"/>
    </row>
    <row r="139" spans="1:12" ht="37.5" x14ac:dyDescent="0.25">
      <c r="A139" s="54" t="s">
        <v>19</v>
      </c>
      <c r="B139" s="58">
        <v>247</v>
      </c>
      <c r="C139" s="58">
        <v>223</v>
      </c>
      <c r="D139" s="5">
        <f t="shared" si="63"/>
        <v>0</v>
      </c>
      <c r="E139" s="2">
        <v>0</v>
      </c>
      <c r="F139" s="2"/>
      <c r="G139" s="5">
        <f t="shared" si="70"/>
        <v>0</v>
      </c>
      <c r="H139" s="2"/>
      <c r="I139" s="2"/>
      <c r="J139" s="36"/>
      <c r="K139" s="36"/>
      <c r="L139" s="36"/>
    </row>
    <row r="140" spans="1:12" ht="75" x14ac:dyDescent="0.25">
      <c r="A140" s="54" t="s">
        <v>20</v>
      </c>
      <c r="B140" s="58">
        <v>247</v>
      </c>
      <c r="C140" s="58">
        <v>223</v>
      </c>
      <c r="D140" s="5">
        <f t="shared" si="63"/>
        <v>0</v>
      </c>
      <c r="E140" s="2">
        <v>0</v>
      </c>
      <c r="F140" s="2"/>
      <c r="G140" s="5">
        <f t="shared" si="70"/>
        <v>0</v>
      </c>
      <c r="H140" s="2"/>
      <c r="I140" s="2"/>
      <c r="J140" s="36"/>
      <c r="K140" s="36"/>
      <c r="L140" s="36"/>
    </row>
    <row r="141" spans="1:12" ht="75" x14ac:dyDescent="0.25">
      <c r="A141" s="54" t="s">
        <v>21</v>
      </c>
      <c r="B141" s="58">
        <v>244</v>
      </c>
      <c r="C141" s="58">
        <v>223</v>
      </c>
      <c r="D141" s="5">
        <f t="shared" si="63"/>
        <v>0</v>
      </c>
      <c r="E141" s="2">
        <v>0</v>
      </c>
      <c r="F141" s="2"/>
      <c r="G141" s="5">
        <f t="shared" si="70"/>
        <v>0</v>
      </c>
      <c r="H141" s="2"/>
      <c r="I141" s="2"/>
      <c r="J141" s="36"/>
      <c r="K141" s="36"/>
      <c r="L141" s="36"/>
    </row>
    <row r="142" spans="1:12" ht="56.25" x14ac:dyDescent="0.25">
      <c r="A142" s="54" t="s">
        <v>22</v>
      </c>
      <c r="B142" s="58">
        <v>244</v>
      </c>
      <c r="C142" s="58">
        <v>223</v>
      </c>
      <c r="D142" s="5">
        <f t="shared" si="63"/>
        <v>0</v>
      </c>
      <c r="E142" s="2">
        <v>0</v>
      </c>
      <c r="F142" s="2"/>
      <c r="G142" s="5">
        <f t="shared" si="70"/>
        <v>0</v>
      </c>
      <c r="H142" s="2"/>
      <c r="I142" s="2"/>
      <c r="J142" s="36"/>
      <c r="K142" s="36"/>
      <c r="L142" s="36"/>
    </row>
    <row r="143" spans="1:12" ht="56.25" x14ac:dyDescent="0.25">
      <c r="A143" s="195" t="s">
        <v>442</v>
      </c>
      <c r="B143" s="196">
        <v>244</v>
      </c>
      <c r="C143" s="196">
        <v>223</v>
      </c>
      <c r="D143" s="5">
        <f t="shared" ref="D143" si="71">E143+F143</f>
        <v>0</v>
      </c>
      <c r="E143" s="2"/>
      <c r="F143" s="2"/>
      <c r="G143" s="5">
        <f t="shared" ref="G143" si="72">H143+I143</f>
        <v>0</v>
      </c>
      <c r="H143" s="2"/>
      <c r="I143" s="2"/>
      <c r="J143" s="36"/>
      <c r="K143" s="36"/>
      <c r="L143" s="36"/>
    </row>
    <row r="144" spans="1:12" ht="168.75" x14ac:dyDescent="0.25">
      <c r="A144" s="54" t="s">
        <v>23</v>
      </c>
      <c r="B144" s="58">
        <v>244</v>
      </c>
      <c r="C144" s="58">
        <v>224</v>
      </c>
      <c r="D144" s="5">
        <f t="shared" si="63"/>
        <v>0</v>
      </c>
      <c r="E144" s="2"/>
      <c r="F144" s="2"/>
      <c r="G144" s="5">
        <f t="shared" si="70"/>
        <v>0</v>
      </c>
      <c r="H144" s="2"/>
      <c r="I144" s="2"/>
      <c r="J144" s="36"/>
      <c r="K144" s="36"/>
      <c r="L144" s="36"/>
    </row>
    <row r="145" spans="1:12" ht="56.25" x14ac:dyDescent="0.25">
      <c r="A145" s="54" t="s">
        <v>24</v>
      </c>
      <c r="B145" s="58" t="s">
        <v>5</v>
      </c>
      <c r="C145" s="58">
        <v>225</v>
      </c>
      <c r="D145" s="2">
        <f t="shared" ref="D145:F145" si="73">D146+D147</f>
        <v>0</v>
      </c>
      <c r="E145" s="2">
        <f>E146+E147</f>
        <v>0</v>
      </c>
      <c r="F145" s="2">
        <f t="shared" si="73"/>
        <v>0</v>
      </c>
      <c r="G145" s="2">
        <f t="shared" ref="G145" si="74">G146+G147</f>
        <v>0</v>
      </c>
      <c r="H145" s="2">
        <f>H146+H147</f>
        <v>0</v>
      </c>
      <c r="I145" s="2">
        <f t="shared" ref="I145" si="75">I146+I147</f>
        <v>0</v>
      </c>
      <c r="J145" s="36"/>
      <c r="K145" s="36"/>
      <c r="L145" s="36"/>
    </row>
    <row r="146" spans="1:12" ht="18.75" x14ac:dyDescent="0.25">
      <c r="A146" s="221" t="s">
        <v>6</v>
      </c>
      <c r="B146" s="58">
        <v>243</v>
      </c>
      <c r="C146" s="58">
        <v>225</v>
      </c>
      <c r="D146" s="5">
        <f t="shared" si="63"/>
        <v>0</v>
      </c>
      <c r="E146" s="2"/>
      <c r="F146" s="2"/>
      <c r="G146" s="5">
        <f t="shared" ref="G146:G157" si="76">H146+I146</f>
        <v>0</v>
      </c>
      <c r="H146" s="2"/>
      <c r="I146" s="2"/>
      <c r="J146" s="36"/>
      <c r="K146" s="36"/>
      <c r="L146" s="36"/>
    </row>
    <row r="147" spans="1:12" ht="18.75" x14ac:dyDescent="0.25">
      <c r="A147" s="221"/>
      <c r="B147" s="58">
        <v>244</v>
      </c>
      <c r="C147" s="58">
        <v>225</v>
      </c>
      <c r="D147" s="5">
        <f t="shared" si="63"/>
        <v>0</v>
      </c>
      <c r="E147" s="2">
        <v>0</v>
      </c>
      <c r="F147" s="2"/>
      <c r="G147" s="5">
        <f t="shared" si="76"/>
        <v>0</v>
      </c>
      <c r="H147" s="2"/>
      <c r="I147" s="2"/>
      <c r="J147" s="36"/>
      <c r="K147" s="36"/>
      <c r="L147" s="36"/>
    </row>
    <row r="148" spans="1:12" ht="37.5" x14ac:dyDescent="0.25">
      <c r="A148" s="54" t="s">
        <v>58</v>
      </c>
      <c r="B148" s="58" t="s">
        <v>5</v>
      </c>
      <c r="C148" s="58">
        <v>226</v>
      </c>
      <c r="D148" s="5">
        <f t="shared" si="63"/>
        <v>0</v>
      </c>
      <c r="E148" s="2">
        <f>E149+E150</f>
        <v>0</v>
      </c>
      <c r="F148" s="2">
        <f>F149+F150</f>
        <v>0</v>
      </c>
      <c r="G148" s="5">
        <f t="shared" si="76"/>
        <v>0</v>
      </c>
      <c r="H148" s="2">
        <f>H149+H150</f>
        <v>0</v>
      </c>
      <c r="I148" s="2">
        <f>I149+I150</f>
        <v>0</v>
      </c>
      <c r="J148" s="36"/>
      <c r="K148" s="36"/>
      <c r="L148" s="36"/>
    </row>
    <row r="149" spans="1:12" ht="18.75" x14ac:dyDescent="0.25">
      <c r="A149" s="221" t="s">
        <v>6</v>
      </c>
      <c r="B149" s="58">
        <v>243</v>
      </c>
      <c r="C149" s="58">
        <v>226</v>
      </c>
      <c r="D149" s="5">
        <f t="shared" si="63"/>
        <v>0</v>
      </c>
      <c r="E149" s="2"/>
      <c r="F149" s="2"/>
      <c r="G149" s="5">
        <f t="shared" si="76"/>
        <v>0</v>
      </c>
      <c r="H149" s="2"/>
      <c r="I149" s="2"/>
      <c r="J149" s="36"/>
      <c r="K149" s="36"/>
      <c r="L149" s="36"/>
    </row>
    <row r="150" spans="1:12" ht="18.75" x14ac:dyDescent="0.25">
      <c r="A150" s="221"/>
      <c r="B150" s="58">
        <v>244</v>
      </c>
      <c r="C150" s="58">
        <v>226</v>
      </c>
      <c r="D150" s="5">
        <f t="shared" si="63"/>
        <v>0</v>
      </c>
      <c r="E150" s="2">
        <v>0</v>
      </c>
      <c r="F150" s="2"/>
      <c r="G150" s="5">
        <f t="shared" si="76"/>
        <v>0</v>
      </c>
      <c r="H150" s="2"/>
      <c r="I150" s="2"/>
      <c r="J150" s="36"/>
      <c r="K150" s="36"/>
      <c r="L150" s="36"/>
    </row>
    <row r="151" spans="1:12" ht="18.75" x14ac:dyDescent="0.25">
      <c r="A151" s="54" t="s">
        <v>25</v>
      </c>
      <c r="B151" s="58">
        <v>244</v>
      </c>
      <c r="C151" s="58">
        <v>227</v>
      </c>
      <c r="D151" s="5">
        <f>E151+F151</f>
        <v>0</v>
      </c>
      <c r="E151" s="2"/>
      <c r="F151" s="2"/>
      <c r="G151" s="5">
        <f t="shared" si="76"/>
        <v>0</v>
      </c>
      <c r="H151" s="2"/>
      <c r="I151" s="2"/>
      <c r="J151" s="36"/>
      <c r="K151" s="36"/>
      <c r="L151" s="36"/>
    </row>
    <row r="152" spans="1:12" ht="56.25" x14ac:dyDescent="0.25">
      <c r="A152" s="170" t="s">
        <v>345</v>
      </c>
      <c r="B152" s="171">
        <v>244</v>
      </c>
      <c r="C152" s="171">
        <v>228</v>
      </c>
      <c r="D152" s="5">
        <f>E152+F152</f>
        <v>0</v>
      </c>
      <c r="E152" s="2"/>
      <c r="F152" s="2"/>
      <c r="G152" s="5">
        <f t="shared" ref="G152" si="77">H152+I152</f>
        <v>0</v>
      </c>
      <c r="H152" s="2"/>
      <c r="I152" s="2"/>
      <c r="J152" s="36"/>
      <c r="K152" s="36"/>
      <c r="L152" s="36"/>
    </row>
    <row r="153" spans="1:12" ht="18.75" x14ac:dyDescent="0.25">
      <c r="A153" s="54" t="s">
        <v>30</v>
      </c>
      <c r="B153" s="58" t="s">
        <v>5</v>
      </c>
      <c r="C153" s="58">
        <v>290</v>
      </c>
      <c r="D153" s="5">
        <f t="shared" si="63"/>
        <v>0</v>
      </c>
      <c r="E153" s="2">
        <f>E155+E156</f>
        <v>0</v>
      </c>
      <c r="F153" s="2">
        <f>F155+F156</f>
        <v>0</v>
      </c>
      <c r="G153" s="5">
        <f t="shared" si="76"/>
        <v>0</v>
      </c>
      <c r="H153" s="2">
        <f>H155+H156</f>
        <v>0</v>
      </c>
      <c r="I153" s="2">
        <f>I155+I156</f>
        <v>0</v>
      </c>
      <c r="J153" s="36"/>
      <c r="K153" s="36"/>
      <c r="L153" s="36"/>
    </row>
    <row r="154" spans="1:12" ht="18.75" x14ac:dyDescent="0.25">
      <c r="A154" s="54" t="s">
        <v>9</v>
      </c>
      <c r="B154" s="58"/>
      <c r="C154" s="58"/>
      <c r="D154" s="5">
        <f t="shared" si="63"/>
        <v>0</v>
      </c>
      <c r="E154" s="2"/>
      <c r="F154" s="2"/>
      <c r="G154" s="5">
        <f t="shared" si="76"/>
        <v>0</v>
      </c>
      <c r="H154" s="2"/>
      <c r="I154" s="2"/>
      <c r="J154" s="36"/>
      <c r="K154" s="36"/>
      <c r="L154" s="36"/>
    </row>
    <row r="155" spans="1:12" ht="56.25" x14ac:dyDescent="0.25">
      <c r="A155" s="54" t="s">
        <v>34</v>
      </c>
      <c r="B155" s="58">
        <v>244</v>
      </c>
      <c r="C155" s="58">
        <v>296</v>
      </c>
      <c r="D155" s="5">
        <f t="shared" si="63"/>
        <v>0</v>
      </c>
      <c r="E155" s="2"/>
      <c r="F155" s="2"/>
      <c r="G155" s="5">
        <f t="shared" si="76"/>
        <v>0</v>
      </c>
      <c r="H155" s="2"/>
      <c r="I155" s="2"/>
      <c r="J155" s="36"/>
      <c r="K155" s="36"/>
      <c r="L155" s="36"/>
    </row>
    <row r="156" spans="1:12" ht="56.25" x14ac:dyDescent="0.25">
      <c r="A156" s="54" t="s">
        <v>35</v>
      </c>
      <c r="B156" s="58">
        <v>244</v>
      </c>
      <c r="C156" s="58">
        <v>297</v>
      </c>
      <c r="D156" s="5">
        <f t="shared" si="63"/>
        <v>0</v>
      </c>
      <c r="E156" s="2"/>
      <c r="F156" s="2"/>
      <c r="G156" s="5">
        <f t="shared" si="76"/>
        <v>0</v>
      </c>
      <c r="H156" s="2"/>
      <c r="I156" s="2"/>
      <c r="J156" s="36"/>
      <c r="K156" s="36"/>
      <c r="L156" s="36"/>
    </row>
    <row r="157" spans="1:12" ht="56.25" x14ac:dyDescent="0.25">
      <c r="A157" s="54" t="s">
        <v>59</v>
      </c>
      <c r="B157" s="58" t="s">
        <v>5</v>
      </c>
      <c r="C157" s="58">
        <v>300</v>
      </c>
      <c r="D157" s="5">
        <f t="shared" si="63"/>
        <v>0</v>
      </c>
      <c r="E157" s="2">
        <f>E159+E161+E160</f>
        <v>0</v>
      </c>
      <c r="F157" s="2">
        <f>F159+F161+F160</f>
        <v>0</v>
      </c>
      <c r="G157" s="5">
        <f t="shared" si="76"/>
        <v>0</v>
      </c>
      <c r="H157" s="2">
        <f>H159+H161+H160</f>
        <v>0</v>
      </c>
      <c r="I157" s="2">
        <f>I159+I161+I160</f>
        <v>0</v>
      </c>
      <c r="J157" s="36"/>
      <c r="K157" s="36"/>
      <c r="L157" s="36"/>
    </row>
    <row r="158" spans="1:12" ht="18.75" x14ac:dyDescent="0.25">
      <c r="A158" s="54" t="s">
        <v>9</v>
      </c>
      <c r="B158" s="58"/>
      <c r="C158" s="58"/>
      <c r="D158" s="5"/>
      <c r="E158" s="2"/>
      <c r="F158" s="2"/>
      <c r="G158" s="5"/>
      <c r="H158" s="2"/>
      <c r="I158" s="2"/>
      <c r="J158" s="36"/>
      <c r="K158" s="36"/>
      <c r="L158" s="36"/>
    </row>
    <row r="159" spans="1:12" ht="56.25" x14ac:dyDescent="0.25">
      <c r="A159" s="54" t="s">
        <v>36</v>
      </c>
      <c r="B159" s="58">
        <v>244</v>
      </c>
      <c r="C159" s="58">
        <v>310</v>
      </c>
      <c r="D159" s="5">
        <f t="shared" si="63"/>
        <v>0</v>
      </c>
      <c r="E159" s="2"/>
      <c r="F159" s="2"/>
      <c r="G159" s="5">
        <f t="shared" ref="G159:G160" si="78">H159+I159</f>
        <v>0</v>
      </c>
      <c r="H159" s="2"/>
      <c r="I159" s="2"/>
      <c r="J159" s="36"/>
      <c r="K159" s="36"/>
      <c r="L159" s="36"/>
    </row>
    <row r="160" spans="1:12" ht="75" x14ac:dyDescent="0.25">
      <c r="A160" s="54" t="s">
        <v>68</v>
      </c>
      <c r="B160" s="58">
        <v>244</v>
      </c>
      <c r="C160" s="58">
        <v>320</v>
      </c>
      <c r="D160" s="5">
        <f t="shared" si="63"/>
        <v>0</v>
      </c>
      <c r="E160" s="2"/>
      <c r="F160" s="2"/>
      <c r="G160" s="5">
        <f t="shared" si="78"/>
        <v>0</v>
      </c>
      <c r="H160" s="2"/>
      <c r="I160" s="2"/>
      <c r="J160" s="36"/>
      <c r="K160" s="36"/>
      <c r="L160" s="36"/>
    </row>
    <row r="161" spans="1:12" ht="75" x14ac:dyDescent="0.25">
      <c r="A161" s="54" t="s">
        <v>60</v>
      </c>
      <c r="B161" s="58" t="s">
        <v>5</v>
      </c>
      <c r="C161" s="58">
        <v>340</v>
      </c>
      <c r="D161" s="5">
        <f>E161+F161</f>
        <v>0</v>
      </c>
      <c r="E161" s="2">
        <f>E163+E164+E165+E166+E167+E168+E169+E170</f>
        <v>0</v>
      </c>
      <c r="F161" s="2">
        <f>F163+F164+F165+F166+F167+F168+F169+F170</f>
        <v>0</v>
      </c>
      <c r="G161" s="5">
        <f>H161+I161</f>
        <v>0</v>
      </c>
      <c r="H161" s="2">
        <f>H163+H164+H165+H166+H167+H168+H169+H170</f>
        <v>0</v>
      </c>
      <c r="I161" s="2">
        <f>I163+I164+I165+I166+I167+I168+I169+I170</f>
        <v>0</v>
      </c>
      <c r="J161" s="36"/>
      <c r="K161" s="36"/>
      <c r="L161" s="36"/>
    </row>
    <row r="162" spans="1:12" ht="18.75" x14ac:dyDescent="0.25">
      <c r="A162" s="54" t="s">
        <v>6</v>
      </c>
      <c r="B162" s="58"/>
      <c r="C162" s="58"/>
      <c r="D162" s="5"/>
      <c r="E162" s="2"/>
      <c r="F162" s="2"/>
      <c r="G162" s="5"/>
      <c r="H162" s="2"/>
      <c r="I162" s="2"/>
      <c r="J162" s="36"/>
      <c r="K162" s="36"/>
      <c r="L162" s="36"/>
    </row>
    <row r="163" spans="1:12" ht="131.25" x14ac:dyDescent="0.25">
      <c r="A163" s="54" t="s">
        <v>37</v>
      </c>
      <c r="B163" s="58">
        <v>244</v>
      </c>
      <c r="C163" s="58">
        <v>341</v>
      </c>
      <c r="D163" s="5">
        <f t="shared" ref="D163:D170" si="79">E163+F163</f>
        <v>0</v>
      </c>
      <c r="E163" s="2"/>
      <c r="F163" s="2"/>
      <c r="G163" s="5">
        <f t="shared" ref="G163:G170" si="80">H163+I163</f>
        <v>0</v>
      </c>
      <c r="H163" s="2"/>
      <c r="I163" s="2"/>
      <c r="J163" s="36"/>
      <c r="K163" s="36"/>
      <c r="L163" s="36"/>
    </row>
    <row r="164" spans="1:12" ht="56.25" x14ac:dyDescent="0.25">
      <c r="A164" s="54" t="s">
        <v>38</v>
      </c>
      <c r="B164" s="58">
        <v>244</v>
      </c>
      <c r="C164" s="58">
        <v>342</v>
      </c>
      <c r="D164" s="5">
        <f t="shared" si="79"/>
        <v>0</v>
      </c>
      <c r="E164" s="2"/>
      <c r="F164" s="2"/>
      <c r="G164" s="5">
        <f t="shared" si="80"/>
        <v>0</v>
      </c>
      <c r="H164" s="2"/>
      <c r="I164" s="2"/>
      <c r="J164" s="36"/>
      <c r="K164" s="36"/>
      <c r="L164" s="36"/>
    </row>
    <row r="165" spans="1:12" ht="75" x14ac:dyDescent="0.25">
      <c r="A165" s="54" t="s">
        <v>39</v>
      </c>
      <c r="B165" s="58">
        <v>244</v>
      </c>
      <c r="C165" s="58">
        <v>343</v>
      </c>
      <c r="D165" s="5">
        <f t="shared" si="79"/>
        <v>0</v>
      </c>
      <c r="E165" s="2">
        <v>0</v>
      </c>
      <c r="F165" s="2"/>
      <c r="G165" s="5">
        <f t="shared" si="80"/>
        <v>0</v>
      </c>
      <c r="H165" s="2"/>
      <c r="I165" s="2"/>
      <c r="J165" s="36"/>
      <c r="K165" s="36"/>
      <c r="L165" s="36"/>
    </row>
    <row r="166" spans="1:12" ht="75" x14ac:dyDescent="0.25">
      <c r="A166" s="54" t="s">
        <v>40</v>
      </c>
      <c r="B166" s="58">
        <v>244</v>
      </c>
      <c r="C166" s="58">
        <v>344</v>
      </c>
      <c r="D166" s="5">
        <f t="shared" si="79"/>
        <v>0</v>
      </c>
      <c r="E166" s="2"/>
      <c r="F166" s="2"/>
      <c r="G166" s="5">
        <f t="shared" si="80"/>
        <v>0</v>
      </c>
      <c r="H166" s="2"/>
      <c r="I166" s="2"/>
      <c r="J166" s="36"/>
      <c r="K166" s="36"/>
      <c r="L166" s="36"/>
    </row>
    <row r="167" spans="1:12" ht="56.25" x14ac:dyDescent="0.25">
      <c r="A167" s="54" t="s">
        <v>41</v>
      </c>
      <c r="B167" s="58">
        <v>244</v>
      </c>
      <c r="C167" s="58">
        <v>345</v>
      </c>
      <c r="D167" s="5">
        <f t="shared" si="79"/>
        <v>0</v>
      </c>
      <c r="E167" s="2"/>
      <c r="F167" s="2"/>
      <c r="G167" s="5">
        <f t="shared" si="80"/>
        <v>0</v>
      </c>
      <c r="H167" s="2"/>
      <c r="I167" s="2"/>
      <c r="J167" s="36"/>
      <c r="K167" s="36"/>
      <c r="L167" s="36"/>
    </row>
    <row r="168" spans="1:12" ht="75" x14ac:dyDescent="0.25">
      <c r="A168" s="54" t="s">
        <v>42</v>
      </c>
      <c r="B168" s="58">
        <v>244</v>
      </c>
      <c r="C168" s="58">
        <v>346</v>
      </c>
      <c r="D168" s="5">
        <f>E168+F168</f>
        <v>0</v>
      </c>
      <c r="E168" s="2"/>
      <c r="F168" s="2"/>
      <c r="G168" s="5">
        <f t="shared" si="80"/>
        <v>0</v>
      </c>
      <c r="H168" s="2"/>
      <c r="I168" s="2"/>
      <c r="J168" s="36"/>
      <c r="K168" s="36"/>
      <c r="L168" s="36"/>
    </row>
    <row r="169" spans="1:12" ht="112.5" x14ac:dyDescent="0.25">
      <c r="A169" s="170" t="s">
        <v>346</v>
      </c>
      <c r="B169" s="171">
        <v>244</v>
      </c>
      <c r="C169" s="171">
        <v>347</v>
      </c>
      <c r="D169" s="5">
        <f>E169+F169</f>
        <v>0</v>
      </c>
      <c r="E169" s="2"/>
      <c r="F169" s="2"/>
      <c r="G169" s="5">
        <f t="shared" ref="G169" si="81">H169+I169</f>
        <v>0</v>
      </c>
      <c r="H169" s="2"/>
      <c r="I169" s="2"/>
      <c r="J169" s="36"/>
      <c r="K169" s="36"/>
      <c r="L169" s="36"/>
    </row>
    <row r="170" spans="1:12" ht="112.5" x14ac:dyDescent="0.25">
      <c r="A170" s="54" t="s">
        <v>43</v>
      </c>
      <c r="B170" s="58">
        <v>244</v>
      </c>
      <c r="C170" s="58">
        <v>349</v>
      </c>
      <c r="D170" s="5">
        <f t="shared" si="79"/>
        <v>0</v>
      </c>
      <c r="E170" s="2"/>
      <c r="F170" s="2"/>
      <c r="G170" s="5">
        <f t="shared" si="80"/>
        <v>0</v>
      </c>
      <c r="H170" s="2"/>
      <c r="I170" s="2"/>
      <c r="J170" s="36"/>
      <c r="K170" s="36"/>
      <c r="L170" s="36"/>
    </row>
    <row r="171" spans="1:12" ht="17.45" customHeight="1" x14ac:dyDescent="0.25">
      <c r="A171" s="322" t="s">
        <v>202</v>
      </c>
      <c r="B171" s="323"/>
      <c r="C171" s="323"/>
      <c r="D171" s="323"/>
      <c r="E171" s="323"/>
      <c r="F171" s="323"/>
      <c r="G171" s="323"/>
      <c r="H171" s="323"/>
      <c r="I171" s="323"/>
      <c r="J171" s="76"/>
      <c r="K171" s="76"/>
      <c r="L171" s="76"/>
    </row>
    <row r="172" spans="1:12" ht="18.75" x14ac:dyDescent="0.25">
      <c r="A172" s="54" t="s">
        <v>8</v>
      </c>
      <c r="B172" s="58" t="s">
        <v>5</v>
      </c>
      <c r="C172" s="58">
        <v>200</v>
      </c>
      <c r="D172" s="5">
        <f t="shared" ref="D172" si="82">E172+F172</f>
        <v>75497833.190000013</v>
      </c>
      <c r="E172" s="2">
        <f>E174+E177+E198</f>
        <v>75497833.190000013</v>
      </c>
      <c r="F172" s="2">
        <f>F174+F177+F198</f>
        <v>0</v>
      </c>
      <c r="G172" s="5">
        <f t="shared" ref="G172" si="83">H172+I172</f>
        <v>75497833.190000013</v>
      </c>
      <c r="H172" s="2">
        <f>H174+H177+H198</f>
        <v>75497833.190000013</v>
      </c>
      <c r="I172" s="2">
        <f>I174+I177+I198</f>
        <v>0</v>
      </c>
      <c r="J172" s="36"/>
      <c r="K172" s="36"/>
      <c r="L172" s="36"/>
    </row>
    <row r="173" spans="1:12" ht="18.75" x14ac:dyDescent="0.25">
      <c r="A173" s="54" t="s">
        <v>9</v>
      </c>
      <c r="B173" s="58"/>
      <c r="C173" s="58"/>
      <c r="D173" s="5"/>
      <c r="E173" s="2"/>
      <c r="F173" s="2"/>
      <c r="G173" s="5"/>
      <c r="H173" s="2"/>
      <c r="I173" s="2"/>
      <c r="J173" s="36"/>
      <c r="K173" s="36"/>
      <c r="L173" s="36"/>
    </row>
    <row r="174" spans="1:12" ht="75" x14ac:dyDescent="0.25">
      <c r="A174" s="54" t="s">
        <v>10</v>
      </c>
      <c r="B174" s="58" t="s">
        <v>5</v>
      </c>
      <c r="C174" s="58">
        <v>210</v>
      </c>
      <c r="D174" s="5">
        <f t="shared" ref="D174" si="84">E174+F174</f>
        <v>0</v>
      </c>
      <c r="E174" s="2">
        <f>E176</f>
        <v>0</v>
      </c>
      <c r="F174" s="2">
        <f>F176</f>
        <v>0</v>
      </c>
      <c r="G174" s="5">
        <f t="shared" ref="G174" si="85">H174+I174</f>
        <v>0</v>
      </c>
      <c r="H174" s="2">
        <f>H176</f>
        <v>0</v>
      </c>
      <c r="I174" s="2">
        <f>I176</f>
        <v>0</v>
      </c>
      <c r="J174" s="36"/>
      <c r="K174" s="36"/>
      <c r="L174" s="36"/>
    </row>
    <row r="175" spans="1:12" ht="18.75" x14ac:dyDescent="0.25">
      <c r="A175" s="54" t="s">
        <v>9</v>
      </c>
      <c r="B175" s="58"/>
      <c r="C175" s="58"/>
      <c r="D175" s="5"/>
      <c r="E175" s="2"/>
      <c r="F175" s="2"/>
      <c r="G175" s="5"/>
      <c r="H175" s="2"/>
      <c r="I175" s="2"/>
      <c r="J175" s="36"/>
      <c r="K175" s="36"/>
      <c r="L175" s="36"/>
    </row>
    <row r="176" spans="1:12" ht="93.75" x14ac:dyDescent="0.25">
      <c r="A176" s="54" t="s">
        <v>201</v>
      </c>
      <c r="B176" s="58">
        <v>244</v>
      </c>
      <c r="C176" s="58">
        <v>214</v>
      </c>
      <c r="D176" s="5">
        <f>E176+F176</f>
        <v>0</v>
      </c>
      <c r="E176" s="70">
        <f>E31-E131</f>
        <v>0</v>
      </c>
      <c r="F176" s="2"/>
      <c r="G176" s="5">
        <f>H176+I176</f>
        <v>0</v>
      </c>
      <c r="H176" s="70">
        <f>H31-H131</f>
        <v>0</v>
      </c>
      <c r="I176" s="2"/>
      <c r="J176" s="36"/>
      <c r="K176" s="36"/>
      <c r="L176" s="36"/>
    </row>
    <row r="177" spans="1:12" ht="37.5" x14ac:dyDescent="0.25">
      <c r="A177" s="54" t="s">
        <v>14</v>
      </c>
      <c r="B177" s="58" t="s">
        <v>5</v>
      </c>
      <c r="C177" s="58">
        <v>220</v>
      </c>
      <c r="D177" s="5">
        <f>E177+F177</f>
        <v>75497833.190000013</v>
      </c>
      <c r="E177" s="2">
        <f>E179+E180+E181+E189+E190+E193+E196+E197</f>
        <v>75497833.190000013</v>
      </c>
      <c r="F177" s="2">
        <f>F179+F180+F181+F189+F190+F193+F196+F197</f>
        <v>0</v>
      </c>
      <c r="G177" s="5">
        <f t="shared" ref="G177" si="86">H177+I177</f>
        <v>75497833.190000013</v>
      </c>
      <c r="H177" s="2">
        <f>H179+H180+H181+H189+H190+H193+H196+H197</f>
        <v>75497833.190000013</v>
      </c>
      <c r="I177" s="2">
        <f>I179+I180+I181+I189+I190+I193+I196+I197</f>
        <v>0</v>
      </c>
      <c r="J177" s="36"/>
      <c r="K177" s="36"/>
      <c r="L177" s="36"/>
    </row>
    <row r="178" spans="1:12" ht="18.75" x14ac:dyDescent="0.25">
      <c r="A178" s="54" t="s">
        <v>9</v>
      </c>
      <c r="B178" s="58"/>
      <c r="C178" s="58"/>
      <c r="D178" s="5"/>
      <c r="E178" s="2"/>
      <c r="F178" s="2"/>
      <c r="G178" s="5"/>
      <c r="H178" s="2"/>
      <c r="I178" s="2"/>
      <c r="J178" s="36"/>
      <c r="K178" s="36"/>
      <c r="L178" s="36"/>
    </row>
    <row r="179" spans="1:12" ht="18.75" x14ac:dyDescent="0.25">
      <c r="A179" s="54" t="s">
        <v>15</v>
      </c>
      <c r="B179" s="58">
        <v>244</v>
      </c>
      <c r="C179" s="58">
        <v>221</v>
      </c>
      <c r="D179" s="5">
        <f t="shared" ref="D179:D181" si="87">E179+F179</f>
        <v>2377640</v>
      </c>
      <c r="E179" s="2">
        <f>E34-E134</f>
        <v>2377640</v>
      </c>
      <c r="F179" s="2"/>
      <c r="G179" s="5">
        <f t="shared" ref="G179:G181" si="88">H179+I179</f>
        <v>2377640</v>
      </c>
      <c r="H179" s="2">
        <f>H34-H134</f>
        <v>2377640</v>
      </c>
      <c r="I179" s="2"/>
      <c r="J179" s="36"/>
      <c r="K179" s="36"/>
      <c r="L179" s="36"/>
    </row>
    <row r="180" spans="1:12" ht="37.5" x14ac:dyDescent="0.25">
      <c r="A180" s="54" t="s">
        <v>16</v>
      </c>
      <c r="B180" s="58">
        <v>244</v>
      </c>
      <c r="C180" s="58">
        <v>222</v>
      </c>
      <c r="D180" s="5">
        <f t="shared" si="87"/>
        <v>0</v>
      </c>
      <c r="E180" s="70">
        <f>E37-E135</f>
        <v>0</v>
      </c>
      <c r="F180" s="2"/>
      <c r="G180" s="5">
        <f t="shared" si="88"/>
        <v>0</v>
      </c>
      <c r="H180" s="70">
        <f>H37-H135</f>
        <v>0</v>
      </c>
      <c r="I180" s="2"/>
      <c r="J180" s="36"/>
      <c r="K180" s="36"/>
      <c r="L180" s="36"/>
    </row>
    <row r="181" spans="1:12" ht="37.5" x14ac:dyDescent="0.25">
      <c r="A181" s="54" t="s">
        <v>17</v>
      </c>
      <c r="B181" s="58" t="s">
        <v>5</v>
      </c>
      <c r="C181" s="58">
        <v>223</v>
      </c>
      <c r="D181" s="5">
        <f t="shared" si="87"/>
        <v>36113963.160000004</v>
      </c>
      <c r="E181" s="2">
        <f t="shared" ref="E181:F181" si="89">E183+E184+E185+E186+E187</f>
        <v>36113963.160000004</v>
      </c>
      <c r="F181" s="2">
        <f t="shared" si="89"/>
        <v>0</v>
      </c>
      <c r="G181" s="5">
        <f t="shared" si="88"/>
        <v>36113963.160000004</v>
      </c>
      <c r="H181" s="2">
        <f t="shared" ref="H181:I181" si="90">H183+H184+H185+H186+H187</f>
        <v>36113963.160000004</v>
      </c>
      <c r="I181" s="2">
        <f t="shared" si="90"/>
        <v>0</v>
      </c>
      <c r="J181" s="36"/>
      <c r="K181" s="36"/>
      <c r="L181" s="36"/>
    </row>
    <row r="182" spans="1:12" ht="18.75" x14ac:dyDescent="0.25">
      <c r="A182" s="54" t="s">
        <v>6</v>
      </c>
      <c r="B182" s="58"/>
      <c r="C182" s="58"/>
      <c r="D182" s="5"/>
      <c r="E182" s="2"/>
      <c r="F182" s="2"/>
      <c r="G182" s="5"/>
      <c r="H182" s="2"/>
      <c r="I182" s="2"/>
      <c r="J182" s="36"/>
      <c r="K182" s="36"/>
      <c r="L182" s="36"/>
    </row>
    <row r="183" spans="1:12" ht="56.25" x14ac:dyDescent="0.25">
      <c r="A183" s="54" t="s">
        <v>18</v>
      </c>
      <c r="B183" s="58">
        <v>244</v>
      </c>
      <c r="C183" s="58">
        <v>223</v>
      </c>
      <c r="D183" s="5">
        <f t="shared" ref="D183:D189" si="91">E183+F183</f>
        <v>0</v>
      </c>
      <c r="E183" s="2">
        <f>E41-E138</f>
        <v>0</v>
      </c>
      <c r="F183" s="2"/>
      <c r="G183" s="5">
        <f t="shared" ref="G183:G189" si="92">H183+I183</f>
        <v>0</v>
      </c>
      <c r="H183" s="2">
        <f>H41-H138</f>
        <v>0</v>
      </c>
      <c r="I183" s="2"/>
      <c r="J183" s="36"/>
      <c r="K183" s="36"/>
      <c r="L183" s="36"/>
    </row>
    <row r="184" spans="1:12" ht="37.5" x14ac:dyDescent="0.25">
      <c r="A184" s="54" t="s">
        <v>19</v>
      </c>
      <c r="B184" s="58">
        <v>244</v>
      </c>
      <c r="C184" s="58">
        <v>223</v>
      </c>
      <c r="D184" s="5">
        <f t="shared" si="91"/>
        <v>3626465.69</v>
      </c>
      <c r="E184" s="2">
        <f>E43-E139</f>
        <v>3626465.69</v>
      </c>
      <c r="F184" s="2"/>
      <c r="G184" s="5">
        <f t="shared" si="92"/>
        <v>3626465.69</v>
      </c>
      <c r="H184" s="2">
        <f>H43-H139</f>
        <v>3626465.69</v>
      </c>
      <c r="I184" s="2"/>
      <c r="J184" s="36"/>
      <c r="K184" s="36"/>
      <c r="L184" s="36"/>
    </row>
    <row r="185" spans="1:12" ht="75" x14ac:dyDescent="0.25">
      <c r="A185" s="54" t="s">
        <v>20</v>
      </c>
      <c r="B185" s="58">
        <v>244</v>
      </c>
      <c r="C185" s="58">
        <v>223</v>
      </c>
      <c r="D185" s="5">
        <f t="shared" si="91"/>
        <v>25316126.350000001</v>
      </c>
      <c r="E185" s="2">
        <f>E45-E140</f>
        <v>25316126.350000001</v>
      </c>
      <c r="F185" s="2"/>
      <c r="G185" s="5">
        <f t="shared" si="92"/>
        <v>25316126.350000001</v>
      </c>
      <c r="H185" s="2">
        <f>H45-H140</f>
        <v>25316126.350000001</v>
      </c>
      <c r="I185" s="2"/>
      <c r="J185" s="36"/>
      <c r="K185" s="36"/>
      <c r="L185" s="36"/>
    </row>
    <row r="186" spans="1:12" ht="75" x14ac:dyDescent="0.25">
      <c r="A186" s="54" t="s">
        <v>21</v>
      </c>
      <c r="B186" s="58">
        <v>244</v>
      </c>
      <c r="C186" s="58">
        <v>223</v>
      </c>
      <c r="D186" s="5">
        <f t="shared" si="91"/>
        <v>6574816.25</v>
      </c>
      <c r="E186" s="2">
        <f>E46-E141</f>
        <v>6574816.25</v>
      </c>
      <c r="F186" s="2"/>
      <c r="G186" s="5">
        <f t="shared" si="92"/>
        <v>6574816.25</v>
      </c>
      <c r="H186" s="2">
        <f>H46-H141</f>
        <v>6574816.25</v>
      </c>
      <c r="I186" s="2"/>
      <c r="J186" s="36"/>
      <c r="K186" s="36"/>
      <c r="L186" s="36"/>
    </row>
    <row r="187" spans="1:12" ht="56.25" x14ac:dyDescent="0.25">
      <c r="A187" s="54" t="s">
        <v>22</v>
      </c>
      <c r="B187" s="58">
        <v>244</v>
      </c>
      <c r="C187" s="58">
        <v>223</v>
      </c>
      <c r="D187" s="5">
        <f t="shared" si="91"/>
        <v>596554.87</v>
      </c>
      <c r="E187" s="2">
        <f>E47-E142</f>
        <v>596554.87</v>
      </c>
      <c r="F187" s="2"/>
      <c r="G187" s="5">
        <f t="shared" si="92"/>
        <v>596554.87</v>
      </c>
      <c r="H187" s="2">
        <f>H47-H142</f>
        <v>596554.87</v>
      </c>
      <c r="I187" s="2"/>
      <c r="J187" s="36"/>
      <c r="K187" s="36"/>
      <c r="L187" s="36"/>
    </row>
    <row r="188" spans="1:12" ht="56.25" x14ac:dyDescent="0.25">
      <c r="A188" s="195" t="s">
        <v>442</v>
      </c>
      <c r="B188" s="196">
        <v>244</v>
      </c>
      <c r="C188" s="196">
        <v>223</v>
      </c>
      <c r="D188" s="5">
        <f t="shared" ref="D188" si="93">E188+F188</f>
        <v>0</v>
      </c>
      <c r="E188" s="2">
        <f>E48-E143</f>
        <v>0</v>
      </c>
      <c r="F188" s="2"/>
      <c r="G188" s="5">
        <f t="shared" ref="G188" si="94">H188+I188</f>
        <v>0</v>
      </c>
      <c r="H188" s="2">
        <f>H48-H143</f>
        <v>0</v>
      </c>
      <c r="I188" s="2"/>
      <c r="J188" s="36"/>
      <c r="K188" s="36"/>
      <c r="L188" s="36"/>
    </row>
    <row r="189" spans="1:12" ht="168.75" x14ac:dyDescent="0.25">
      <c r="A189" s="54" t="s">
        <v>23</v>
      </c>
      <c r="B189" s="58">
        <v>244</v>
      </c>
      <c r="C189" s="58">
        <v>224</v>
      </c>
      <c r="D189" s="5">
        <f t="shared" si="91"/>
        <v>0</v>
      </c>
      <c r="E189" s="2">
        <f>E49-E144</f>
        <v>0</v>
      </c>
      <c r="F189" s="2"/>
      <c r="G189" s="5">
        <f t="shared" si="92"/>
        <v>0</v>
      </c>
      <c r="H189" s="2">
        <f>H49-H144</f>
        <v>0</v>
      </c>
      <c r="I189" s="2"/>
      <c r="J189" s="36"/>
      <c r="K189" s="36"/>
      <c r="L189" s="36"/>
    </row>
    <row r="190" spans="1:12" ht="56.25" x14ac:dyDescent="0.25">
      <c r="A190" s="54" t="s">
        <v>24</v>
      </c>
      <c r="B190" s="58" t="s">
        <v>5</v>
      </c>
      <c r="C190" s="58">
        <v>225</v>
      </c>
      <c r="D190" s="2">
        <f t="shared" ref="D190" si="95">D191+D192</f>
        <v>27992701.129999999</v>
      </c>
      <c r="E190" s="2">
        <f>E191+E192</f>
        <v>27992701.129999999</v>
      </c>
      <c r="F190" s="2">
        <f t="shared" ref="F190:G190" si="96">F191+F192</f>
        <v>0</v>
      </c>
      <c r="G190" s="2">
        <f t="shared" si="96"/>
        <v>27992701.129999999</v>
      </c>
      <c r="H190" s="2">
        <f>H191+H192</f>
        <v>27992701.129999999</v>
      </c>
      <c r="I190" s="2">
        <f t="shared" ref="I190" si="97">I191+I192</f>
        <v>0</v>
      </c>
      <c r="J190" s="36"/>
      <c r="K190" s="36"/>
      <c r="L190" s="36"/>
    </row>
    <row r="191" spans="1:12" ht="18.75" x14ac:dyDescent="0.25">
      <c r="A191" s="221" t="s">
        <v>6</v>
      </c>
      <c r="B191" s="58">
        <v>243</v>
      </c>
      <c r="C191" s="58">
        <v>225</v>
      </c>
      <c r="D191" s="5">
        <f t="shared" ref="D191:D202" si="98">E191+F191</f>
        <v>0</v>
      </c>
      <c r="E191" s="2">
        <f>E51-E146</f>
        <v>0</v>
      </c>
      <c r="F191" s="2"/>
      <c r="G191" s="5">
        <f t="shared" ref="G191:G202" si="99">H191+I191</f>
        <v>0</v>
      </c>
      <c r="H191" s="2">
        <f>H51-H146</f>
        <v>0</v>
      </c>
      <c r="I191" s="2"/>
      <c r="J191" s="36"/>
      <c r="K191" s="36"/>
      <c r="L191" s="36"/>
    </row>
    <row r="192" spans="1:12" ht="18.75" x14ac:dyDescent="0.25">
      <c r="A192" s="221"/>
      <c r="B192" s="58">
        <v>244</v>
      </c>
      <c r="C192" s="58">
        <v>225</v>
      </c>
      <c r="D192" s="5">
        <f t="shared" si="98"/>
        <v>27992701.129999999</v>
      </c>
      <c r="E192" s="2">
        <f>E52-E147</f>
        <v>27992701.129999999</v>
      </c>
      <c r="F192" s="2"/>
      <c r="G192" s="5">
        <f t="shared" si="99"/>
        <v>27992701.129999999</v>
      </c>
      <c r="H192" s="2">
        <f>H52-H147</f>
        <v>27992701.129999999</v>
      </c>
      <c r="I192" s="2"/>
      <c r="J192" s="36"/>
      <c r="K192" s="36"/>
      <c r="L192" s="36"/>
    </row>
    <row r="193" spans="1:12" ht="37.5" x14ac:dyDescent="0.25">
      <c r="A193" s="54" t="s">
        <v>58</v>
      </c>
      <c r="B193" s="58" t="s">
        <v>5</v>
      </c>
      <c r="C193" s="58">
        <v>226</v>
      </c>
      <c r="D193" s="5">
        <f t="shared" si="98"/>
        <v>9008461.2799999993</v>
      </c>
      <c r="E193" s="2">
        <f>E194+E195</f>
        <v>9008461.2799999993</v>
      </c>
      <c r="F193" s="2">
        <f>F194+F195</f>
        <v>0</v>
      </c>
      <c r="G193" s="5">
        <f t="shared" si="99"/>
        <v>9008461.2799999993</v>
      </c>
      <c r="H193" s="2">
        <f>H194+H195</f>
        <v>9008461.2799999993</v>
      </c>
      <c r="I193" s="2">
        <f>I194+I195</f>
        <v>0</v>
      </c>
      <c r="J193" s="36"/>
      <c r="K193" s="36"/>
      <c r="L193" s="36"/>
    </row>
    <row r="194" spans="1:12" ht="18.75" x14ac:dyDescent="0.25">
      <c r="A194" s="221" t="s">
        <v>6</v>
      </c>
      <c r="B194" s="58">
        <v>243</v>
      </c>
      <c r="C194" s="58">
        <v>226</v>
      </c>
      <c r="D194" s="5">
        <f t="shared" si="98"/>
        <v>0</v>
      </c>
      <c r="E194" s="2">
        <f>E57-E149</f>
        <v>0</v>
      </c>
      <c r="F194" s="2"/>
      <c r="G194" s="5">
        <f t="shared" si="99"/>
        <v>0</v>
      </c>
      <c r="H194" s="2">
        <f>H57-H149</f>
        <v>0</v>
      </c>
      <c r="I194" s="2"/>
      <c r="J194" s="36"/>
      <c r="K194" s="36"/>
      <c r="L194" s="36"/>
    </row>
    <row r="195" spans="1:12" ht="18.75" x14ac:dyDescent="0.25">
      <c r="A195" s="221"/>
      <c r="B195" s="58">
        <v>244</v>
      </c>
      <c r="C195" s="58">
        <v>226</v>
      </c>
      <c r="D195" s="5">
        <f t="shared" si="98"/>
        <v>9008461.2799999993</v>
      </c>
      <c r="E195" s="2">
        <f>E58-E150</f>
        <v>9008461.2799999993</v>
      </c>
      <c r="F195" s="2"/>
      <c r="G195" s="5">
        <f t="shared" si="99"/>
        <v>9008461.2799999993</v>
      </c>
      <c r="H195" s="2">
        <f>H58-H150</f>
        <v>9008461.2799999993</v>
      </c>
      <c r="I195" s="2"/>
      <c r="J195" s="36"/>
      <c r="K195" s="36"/>
      <c r="L195" s="36"/>
    </row>
    <row r="196" spans="1:12" ht="18.75" x14ac:dyDescent="0.25">
      <c r="A196" s="54" t="s">
        <v>25</v>
      </c>
      <c r="B196" s="58">
        <v>244</v>
      </c>
      <c r="C196" s="58">
        <v>227</v>
      </c>
      <c r="D196" s="5">
        <f t="shared" si="98"/>
        <v>5067.62</v>
      </c>
      <c r="E196" s="2">
        <f>E59-E151</f>
        <v>5067.62</v>
      </c>
      <c r="F196" s="2"/>
      <c r="G196" s="5">
        <f t="shared" si="99"/>
        <v>5067.62</v>
      </c>
      <c r="H196" s="2">
        <f>H59-H151</f>
        <v>5067.62</v>
      </c>
      <c r="I196" s="2"/>
      <c r="J196" s="36"/>
      <c r="K196" s="36"/>
      <c r="L196" s="36"/>
    </row>
    <row r="197" spans="1:12" ht="56.25" x14ac:dyDescent="0.25">
      <c r="A197" s="170" t="s">
        <v>345</v>
      </c>
      <c r="B197" s="171">
        <v>244</v>
      </c>
      <c r="C197" s="171">
        <v>228</v>
      </c>
      <c r="D197" s="5">
        <f>E197+F197</f>
        <v>0</v>
      </c>
      <c r="E197" s="2">
        <f>E60-E152</f>
        <v>0</v>
      </c>
      <c r="F197" s="2"/>
      <c r="G197" s="5">
        <f t="shared" ref="G197" si="100">H197+I197</f>
        <v>0</v>
      </c>
      <c r="H197" s="2">
        <f>H60-H152</f>
        <v>0</v>
      </c>
      <c r="I197" s="2"/>
      <c r="J197" s="36"/>
      <c r="K197" s="36"/>
      <c r="L197" s="36"/>
    </row>
    <row r="198" spans="1:12" ht="18.75" x14ac:dyDescent="0.25">
      <c r="A198" s="54" t="s">
        <v>30</v>
      </c>
      <c r="B198" s="58" t="s">
        <v>5</v>
      </c>
      <c r="C198" s="58">
        <v>290</v>
      </c>
      <c r="D198" s="5">
        <f t="shared" si="98"/>
        <v>0</v>
      </c>
      <c r="E198" s="2">
        <f>E200+E201</f>
        <v>0</v>
      </c>
      <c r="F198" s="2">
        <f>F200+F201</f>
        <v>0</v>
      </c>
      <c r="G198" s="5">
        <f t="shared" si="99"/>
        <v>0</v>
      </c>
      <c r="H198" s="2">
        <f>H200+H201</f>
        <v>0</v>
      </c>
      <c r="I198" s="2">
        <f>I200+I201</f>
        <v>0</v>
      </c>
      <c r="J198" s="36"/>
      <c r="K198" s="36"/>
      <c r="L198" s="36"/>
    </row>
    <row r="199" spans="1:12" ht="18.75" x14ac:dyDescent="0.25">
      <c r="A199" s="54" t="s">
        <v>9</v>
      </c>
      <c r="B199" s="58"/>
      <c r="C199" s="58"/>
      <c r="D199" s="5">
        <f t="shared" si="98"/>
        <v>0</v>
      </c>
      <c r="E199" s="2"/>
      <c r="F199" s="2"/>
      <c r="G199" s="5">
        <f t="shared" si="99"/>
        <v>0</v>
      </c>
      <c r="H199" s="2"/>
      <c r="I199" s="2"/>
      <c r="J199" s="36"/>
      <c r="K199" s="36"/>
      <c r="L199" s="36"/>
    </row>
    <row r="200" spans="1:12" ht="56.25" x14ac:dyDescent="0.25">
      <c r="A200" s="54" t="s">
        <v>34</v>
      </c>
      <c r="B200" s="58">
        <v>244</v>
      </c>
      <c r="C200" s="58">
        <v>296</v>
      </c>
      <c r="D200" s="5">
        <f t="shared" si="98"/>
        <v>0</v>
      </c>
      <c r="E200" s="2">
        <f>E80-E155</f>
        <v>0</v>
      </c>
      <c r="F200" s="2"/>
      <c r="G200" s="5">
        <f t="shared" si="99"/>
        <v>0</v>
      </c>
      <c r="H200" s="2">
        <f>H80-H155</f>
        <v>0</v>
      </c>
      <c r="I200" s="2"/>
      <c r="J200" s="36"/>
      <c r="K200" s="36"/>
      <c r="L200" s="36"/>
    </row>
    <row r="201" spans="1:12" ht="56.25" x14ac:dyDescent="0.25">
      <c r="A201" s="54" t="s">
        <v>35</v>
      </c>
      <c r="B201" s="58">
        <v>244</v>
      </c>
      <c r="C201" s="58">
        <v>297</v>
      </c>
      <c r="D201" s="5">
        <f t="shared" si="98"/>
        <v>0</v>
      </c>
      <c r="E201" s="2">
        <f>E87-E156</f>
        <v>0</v>
      </c>
      <c r="F201" s="2"/>
      <c r="G201" s="5">
        <f t="shared" si="99"/>
        <v>0</v>
      </c>
      <c r="H201" s="2">
        <f>H87-H156</f>
        <v>0</v>
      </c>
      <c r="I201" s="2"/>
      <c r="J201" s="36"/>
      <c r="K201" s="36"/>
      <c r="L201" s="36"/>
    </row>
    <row r="202" spans="1:12" ht="56.25" x14ac:dyDescent="0.25">
      <c r="A202" s="54" t="s">
        <v>59</v>
      </c>
      <c r="B202" s="58" t="s">
        <v>5</v>
      </c>
      <c r="C202" s="58">
        <v>300</v>
      </c>
      <c r="D202" s="5">
        <f t="shared" si="98"/>
        <v>9401903.6199999992</v>
      </c>
      <c r="E202" s="2">
        <f>E204+E206+E205</f>
        <v>9401903.6199999992</v>
      </c>
      <c r="F202" s="2">
        <f>F204+F206+F205</f>
        <v>0</v>
      </c>
      <c r="G202" s="5">
        <f t="shared" si="99"/>
        <v>9401903.6199999992</v>
      </c>
      <c r="H202" s="2">
        <f>H204+H206+H205</f>
        <v>9401903.6199999992</v>
      </c>
      <c r="I202" s="2">
        <f>I204+I206+I205</f>
        <v>0</v>
      </c>
      <c r="J202" s="36"/>
      <c r="K202" s="36"/>
      <c r="L202" s="36"/>
    </row>
    <row r="203" spans="1:12" ht="18.75" x14ac:dyDescent="0.25">
      <c r="A203" s="54" t="s">
        <v>9</v>
      </c>
      <c r="B203" s="58"/>
      <c r="C203" s="58"/>
      <c r="D203" s="5"/>
      <c r="E203" s="2"/>
      <c r="F203" s="2"/>
      <c r="G203" s="5"/>
      <c r="H203" s="2"/>
      <c r="I203" s="2"/>
      <c r="J203" s="36"/>
      <c r="K203" s="36"/>
      <c r="L203" s="36"/>
    </row>
    <row r="204" spans="1:12" ht="56.25" x14ac:dyDescent="0.25">
      <c r="A204" s="54" t="s">
        <v>36</v>
      </c>
      <c r="B204" s="58">
        <v>244</v>
      </c>
      <c r="C204" s="58">
        <v>310</v>
      </c>
      <c r="D204" s="5">
        <f t="shared" ref="D204:D206" si="101">E204+F204</f>
        <v>0</v>
      </c>
      <c r="E204" s="2">
        <f>E93-E159</f>
        <v>0</v>
      </c>
      <c r="F204" s="2"/>
      <c r="G204" s="5">
        <f t="shared" ref="G204:G206" si="102">H204+I204</f>
        <v>0</v>
      </c>
      <c r="H204" s="2">
        <f>H93-H159</f>
        <v>0</v>
      </c>
      <c r="I204" s="2"/>
      <c r="J204" s="36"/>
      <c r="K204" s="36"/>
      <c r="L204" s="36"/>
    </row>
    <row r="205" spans="1:12" ht="75" x14ac:dyDescent="0.25">
      <c r="A205" s="54" t="s">
        <v>68</v>
      </c>
      <c r="B205" s="58">
        <v>244</v>
      </c>
      <c r="C205" s="58">
        <v>320</v>
      </c>
      <c r="D205" s="5">
        <f t="shared" si="101"/>
        <v>0</v>
      </c>
      <c r="E205" s="2">
        <f>E94-E160</f>
        <v>0</v>
      </c>
      <c r="F205" s="2"/>
      <c r="G205" s="5">
        <f t="shared" si="102"/>
        <v>0</v>
      </c>
      <c r="H205" s="2">
        <f>H94-H160</f>
        <v>0</v>
      </c>
      <c r="I205" s="2"/>
      <c r="J205" s="36"/>
      <c r="K205" s="36"/>
      <c r="L205" s="36"/>
    </row>
    <row r="206" spans="1:12" ht="75" x14ac:dyDescent="0.25">
      <c r="A206" s="54" t="s">
        <v>60</v>
      </c>
      <c r="B206" s="58" t="s">
        <v>5</v>
      </c>
      <c r="C206" s="58">
        <v>340</v>
      </c>
      <c r="D206" s="5">
        <f t="shared" si="101"/>
        <v>9401903.6199999992</v>
      </c>
      <c r="E206" s="2">
        <f>E208+E209+E210+E211+E212+E213+E215</f>
        <v>9401903.6199999992</v>
      </c>
      <c r="F206" s="2">
        <f>F208+F209+F210+F211+F212+F213+F215</f>
        <v>0</v>
      </c>
      <c r="G206" s="5">
        <f t="shared" si="102"/>
        <v>9401903.6199999992</v>
      </c>
      <c r="H206" s="2">
        <f>H208+H209+H210+H211+H212+H213+H215</f>
        <v>9401903.6199999992</v>
      </c>
      <c r="I206" s="2">
        <f>I208+I209+I210+I211+I212+I213+I215</f>
        <v>0</v>
      </c>
      <c r="J206" s="36"/>
      <c r="K206" s="36"/>
      <c r="L206" s="36"/>
    </row>
    <row r="207" spans="1:12" ht="18.75" x14ac:dyDescent="0.25">
      <c r="A207" s="54" t="s">
        <v>6</v>
      </c>
      <c r="B207" s="58"/>
      <c r="C207" s="58"/>
      <c r="D207" s="5"/>
      <c r="E207" s="2"/>
      <c r="F207" s="2"/>
      <c r="G207" s="5"/>
      <c r="H207" s="2"/>
      <c r="I207" s="2"/>
      <c r="J207" s="36"/>
      <c r="K207" s="36"/>
      <c r="L207" s="36"/>
    </row>
    <row r="208" spans="1:12" ht="131.25" x14ac:dyDescent="0.25">
      <c r="A208" s="54" t="s">
        <v>37</v>
      </c>
      <c r="B208" s="58">
        <v>244</v>
      </c>
      <c r="C208" s="58">
        <v>341</v>
      </c>
      <c r="D208" s="5">
        <f t="shared" ref="D208:D215" si="103">E208+F208</f>
        <v>0</v>
      </c>
      <c r="E208" s="2">
        <f t="shared" ref="E208:E214" si="104">E97-E163</f>
        <v>0</v>
      </c>
      <c r="F208" s="2"/>
      <c r="G208" s="5">
        <f t="shared" ref="G208:G215" si="105">H208+I208</f>
        <v>0</v>
      </c>
      <c r="H208" s="2">
        <f t="shared" ref="H208:H214" si="106">H97-H163</f>
        <v>0</v>
      </c>
      <c r="I208" s="2"/>
      <c r="J208" s="36"/>
      <c r="K208" s="36"/>
      <c r="L208" s="36"/>
    </row>
    <row r="209" spans="1:12" ht="56.25" x14ac:dyDescent="0.25">
      <c r="A209" s="54" t="s">
        <v>38</v>
      </c>
      <c r="B209" s="58">
        <v>244</v>
      </c>
      <c r="C209" s="58">
        <v>342</v>
      </c>
      <c r="D209" s="5">
        <f t="shared" si="103"/>
        <v>0</v>
      </c>
      <c r="E209" s="2">
        <f t="shared" si="104"/>
        <v>0</v>
      </c>
      <c r="F209" s="2"/>
      <c r="G209" s="5">
        <f t="shared" si="105"/>
        <v>0</v>
      </c>
      <c r="H209" s="2">
        <f t="shared" si="106"/>
        <v>0</v>
      </c>
      <c r="I209" s="2"/>
      <c r="J209" s="36"/>
      <c r="K209" s="36"/>
      <c r="L209" s="36"/>
    </row>
    <row r="210" spans="1:12" ht="75" x14ac:dyDescent="0.25">
      <c r="A210" s="54" t="s">
        <v>39</v>
      </c>
      <c r="B210" s="58">
        <v>244</v>
      </c>
      <c r="C210" s="58">
        <v>343</v>
      </c>
      <c r="D210" s="5">
        <f t="shared" si="103"/>
        <v>290000</v>
      </c>
      <c r="E210" s="2">
        <f t="shared" si="104"/>
        <v>290000</v>
      </c>
      <c r="F210" s="2"/>
      <c r="G210" s="5">
        <f t="shared" si="105"/>
        <v>290000</v>
      </c>
      <c r="H210" s="2">
        <f t="shared" si="106"/>
        <v>290000</v>
      </c>
      <c r="I210" s="2"/>
      <c r="J210" s="36"/>
      <c r="K210" s="36"/>
      <c r="L210" s="36"/>
    </row>
    <row r="211" spans="1:12" ht="75" x14ac:dyDescent="0.25">
      <c r="A211" s="54" t="s">
        <v>40</v>
      </c>
      <c r="B211" s="58">
        <v>244</v>
      </c>
      <c r="C211" s="58">
        <v>344</v>
      </c>
      <c r="D211" s="5">
        <f t="shared" si="103"/>
        <v>200000</v>
      </c>
      <c r="E211" s="2">
        <f t="shared" si="104"/>
        <v>200000</v>
      </c>
      <c r="F211" s="2"/>
      <c r="G211" s="5">
        <f t="shared" si="105"/>
        <v>200000</v>
      </c>
      <c r="H211" s="2">
        <f t="shared" si="106"/>
        <v>200000</v>
      </c>
      <c r="I211" s="2"/>
      <c r="J211" s="36"/>
      <c r="K211" s="36"/>
      <c r="L211" s="36"/>
    </row>
    <row r="212" spans="1:12" ht="56.25" x14ac:dyDescent="0.25">
      <c r="A212" s="54" t="s">
        <v>41</v>
      </c>
      <c r="B212" s="58">
        <v>244</v>
      </c>
      <c r="C212" s="58">
        <v>345</v>
      </c>
      <c r="D212" s="5">
        <f t="shared" si="103"/>
        <v>334245</v>
      </c>
      <c r="E212" s="2">
        <f t="shared" si="104"/>
        <v>334245</v>
      </c>
      <c r="F212" s="2"/>
      <c r="G212" s="5">
        <f t="shared" si="105"/>
        <v>334245</v>
      </c>
      <c r="H212" s="2">
        <f t="shared" si="106"/>
        <v>334245</v>
      </c>
      <c r="I212" s="2"/>
      <c r="J212" s="36"/>
      <c r="K212" s="36"/>
      <c r="L212" s="36"/>
    </row>
    <row r="213" spans="1:12" ht="75" x14ac:dyDescent="0.25">
      <c r="A213" s="54" t="s">
        <v>42</v>
      </c>
      <c r="B213" s="58">
        <v>244</v>
      </c>
      <c r="C213" s="58">
        <v>346</v>
      </c>
      <c r="D213" s="5">
        <f t="shared" si="103"/>
        <v>8428958.6199999992</v>
      </c>
      <c r="E213" s="2">
        <f t="shared" si="104"/>
        <v>8428958.6199999992</v>
      </c>
      <c r="F213" s="2"/>
      <c r="G213" s="5">
        <f t="shared" si="105"/>
        <v>8428958.6199999992</v>
      </c>
      <c r="H213" s="2">
        <f t="shared" si="106"/>
        <v>8428958.6199999992</v>
      </c>
      <c r="I213" s="2"/>
      <c r="J213" s="36"/>
      <c r="K213" s="36"/>
      <c r="L213" s="36"/>
    </row>
    <row r="214" spans="1:12" ht="112.5" x14ac:dyDescent="0.25">
      <c r="A214" s="170" t="s">
        <v>346</v>
      </c>
      <c r="B214" s="171">
        <v>244</v>
      </c>
      <c r="C214" s="171">
        <v>347</v>
      </c>
      <c r="D214" s="5">
        <f>E214+F214</f>
        <v>0</v>
      </c>
      <c r="E214" s="2">
        <f t="shared" si="104"/>
        <v>0</v>
      </c>
      <c r="F214" s="2"/>
      <c r="G214" s="5">
        <f t="shared" ref="G214" si="107">H214+I214</f>
        <v>0</v>
      </c>
      <c r="H214" s="2">
        <f t="shared" si="106"/>
        <v>0</v>
      </c>
      <c r="I214" s="2"/>
      <c r="J214" s="36"/>
      <c r="K214" s="36"/>
      <c r="L214" s="36"/>
    </row>
    <row r="215" spans="1:12" ht="112.5" x14ac:dyDescent="0.25">
      <c r="A215" s="54" t="s">
        <v>43</v>
      </c>
      <c r="B215" s="58">
        <v>244</v>
      </c>
      <c r="C215" s="58">
        <v>349</v>
      </c>
      <c r="D215" s="5">
        <f t="shared" si="103"/>
        <v>148700</v>
      </c>
      <c r="E215" s="2">
        <f t="shared" ref="E215" si="108">E104-E170</f>
        <v>148700</v>
      </c>
      <c r="F215" s="2"/>
      <c r="G215" s="5">
        <f t="shared" si="105"/>
        <v>148700</v>
      </c>
      <c r="H215" s="2">
        <f t="shared" ref="H215" si="109">H104-H170</f>
        <v>148700</v>
      </c>
      <c r="I215" s="2"/>
      <c r="J215" s="36"/>
      <c r="K215" s="36"/>
      <c r="L215" s="36"/>
    </row>
  </sheetData>
  <mergeCells count="39">
    <mergeCell ref="B112:C112"/>
    <mergeCell ref="E112:F112"/>
    <mergeCell ref="B115:C115"/>
    <mergeCell ref="E115:F115"/>
    <mergeCell ref="A30:A31"/>
    <mergeCell ref="A36:A37"/>
    <mergeCell ref="A51:A52"/>
    <mergeCell ref="A54:A58"/>
    <mergeCell ref="A66:A67"/>
    <mergeCell ref="A73:A75"/>
    <mergeCell ref="A80:A85"/>
    <mergeCell ref="A87:A90"/>
    <mergeCell ref="G5:G6"/>
    <mergeCell ref="H5:I5"/>
    <mergeCell ref="E5:F5"/>
    <mergeCell ref="A2:I2"/>
    <mergeCell ref="A1:I1"/>
    <mergeCell ref="A5:A6"/>
    <mergeCell ref="B5:B6"/>
    <mergeCell ref="C5:C6"/>
    <mergeCell ref="D5:D6"/>
    <mergeCell ref="B119:C119"/>
    <mergeCell ref="E119:F119"/>
    <mergeCell ref="A121:B121"/>
    <mergeCell ref="B113:C113"/>
    <mergeCell ref="E113:F113"/>
    <mergeCell ref="B116:C116"/>
    <mergeCell ref="E116:F116"/>
    <mergeCell ref="B118:C118"/>
    <mergeCell ref="E118:F118"/>
    <mergeCell ref="N122:P122"/>
    <mergeCell ref="A122:I122"/>
    <mergeCell ref="A191:A192"/>
    <mergeCell ref="A194:A195"/>
    <mergeCell ref="A126:I126"/>
    <mergeCell ref="A171:I171"/>
    <mergeCell ref="K122:M122"/>
    <mergeCell ref="A146:A147"/>
    <mergeCell ref="A149:A150"/>
  </mergeCells>
  <pageMargins left="0.78740157480314965" right="0.78740157480314965" top="1.3779527559055118" bottom="0.39370078740157483" header="0.31496062992125984" footer="0.31496062992125984"/>
  <pageSetup paperSize="9" scale="54" orientation="landscape" r:id="rId1"/>
  <rowBreaks count="7" manualBreakCount="7">
    <brk id="18" max="8" man="1"/>
    <brk id="32" max="8" man="1"/>
    <brk id="47" max="8" man="1"/>
    <brk id="62" max="8" man="1"/>
    <brk id="74" max="8" man="1"/>
    <brk id="90" max="8" man="1"/>
    <brk id="101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19"/>
  <sheetViews>
    <sheetView view="pageBreakPreview" zoomScaleNormal="100" zoomScaleSheetLayoutView="100" workbookViewId="0">
      <selection activeCell="E111" sqref="E111:F111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9" width="18.5703125" style="7" customWidth="1"/>
    <col min="10" max="16384" width="8.85546875" style="7"/>
  </cols>
  <sheetData>
    <row r="1" spans="1:9" ht="18.75" x14ac:dyDescent="0.25">
      <c r="A1" s="237" t="s">
        <v>267</v>
      </c>
      <c r="B1" s="237"/>
      <c r="C1" s="237"/>
      <c r="D1" s="237"/>
      <c r="E1" s="237"/>
      <c r="F1" s="237"/>
      <c r="G1" s="237"/>
      <c r="H1" s="237"/>
      <c r="I1" s="237"/>
    </row>
    <row r="2" spans="1:9" ht="18.75" x14ac:dyDescent="0.25">
      <c r="A2" s="237" t="s">
        <v>460</v>
      </c>
      <c r="B2" s="237"/>
      <c r="C2" s="237"/>
      <c r="D2" s="237"/>
      <c r="E2" s="237"/>
      <c r="F2" s="237"/>
      <c r="G2" s="237"/>
      <c r="H2" s="237"/>
      <c r="I2" s="237"/>
    </row>
    <row r="3" spans="1:9" x14ac:dyDescent="0.25">
      <c r="A3" s="30"/>
    </row>
    <row r="4" spans="1:9" ht="19.5" thickBot="1" x14ac:dyDescent="0.3">
      <c r="A4" s="6"/>
      <c r="F4" s="6" t="s">
        <v>51</v>
      </c>
      <c r="G4" s="6"/>
    </row>
    <row r="5" spans="1:9" ht="30.6" customHeight="1" x14ac:dyDescent="0.25">
      <c r="A5" s="229" t="s">
        <v>0</v>
      </c>
      <c r="B5" s="231" t="s">
        <v>45</v>
      </c>
      <c r="C5" s="233" t="s">
        <v>46</v>
      </c>
      <c r="D5" s="231" t="s">
        <v>1</v>
      </c>
      <c r="E5" s="231" t="s">
        <v>390</v>
      </c>
      <c r="F5" s="231"/>
      <c r="G5" s="231" t="s">
        <v>1</v>
      </c>
      <c r="H5" s="231" t="s">
        <v>461</v>
      </c>
      <c r="I5" s="231"/>
    </row>
    <row r="6" spans="1:9" ht="15.75" x14ac:dyDescent="0.25">
      <c r="A6" s="330"/>
      <c r="B6" s="331"/>
      <c r="C6" s="332"/>
      <c r="D6" s="331"/>
      <c r="E6" s="331" t="s">
        <v>6</v>
      </c>
      <c r="F6" s="331"/>
      <c r="G6" s="331"/>
      <c r="H6" s="331" t="s">
        <v>6</v>
      </c>
      <c r="I6" s="333"/>
    </row>
    <row r="7" spans="1:9" ht="212.45" customHeight="1" thickBot="1" x14ac:dyDescent="0.3">
      <c r="A7" s="230"/>
      <c r="B7" s="232"/>
      <c r="C7" s="234"/>
      <c r="D7" s="232"/>
      <c r="E7" s="117" t="s">
        <v>198</v>
      </c>
      <c r="F7" s="117" t="s">
        <v>199</v>
      </c>
      <c r="G7" s="232"/>
      <c r="H7" s="117" t="s">
        <v>198</v>
      </c>
      <c r="I7" s="38" t="s">
        <v>199</v>
      </c>
    </row>
    <row r="8" spans="1:9" ht="19.5" thickBot="1" x14ac:dyDescent="0.3">
      <c r="A8" s="87">
        <v>1</v>
      </c>
      <c r="B8" s="88">
        <v>2</v>
      </c>
      <c r="C8" s="88">
        <v>3</v>
      </c>
      <c r="D8" s="88">
        <v>4</v>
      </c>
      <c r="E8" s="88">
        <v>5</v>
      </c>
      <c r="F8" s="88">
        <v>6</v>
      </c>
      <c r="G8" s="88">
        <v>7</v>
      </c>
      <c r="H8" s="88">
        <v>8</v>
      </c>
      <c r="I8" s="89">
        <v>9</v>
      </c>
    </row>
    <row r="9" spans="1:9" ht="112.5" x14ac:dyDescent="0.25">
      <c r="A9" s="39" t="s">
        <v>69</v>
      </c>
      <c r="B9" s="40" t="s">
        <v>5</v>
      </c>
      <c r="C9" s="40" t="s">
        <v>5</v>
      </c>
      <c r="D9" s="41">
        <f>E9+F9</f>
        <v>84899736.810000017</v>
      </c>
      <c r="E9" s="90">
        <f>E10+E11</f>
        <v>84899736.810000017</v>
      </c>
      <c r="F9" s="90"/>
      <c r="G9" s="41">
        <f t="shared" ref="G9:G10" si="0">H9+I9</f>
        <v>84899736.810000017</v>
      </c>
      <c r="H9" s="90">
        <f>H10+H11</f>
        <v>84899736.810000017</v>
      </c>
      <c r="I9" s="91"/>
    </row>
    <row r="10" spans="1:9" ht="18.75" x14ac:dyDescent="0.25">
      <c r="A10" s="115" t="s">
        <v>7</v>
      </c>
      <c r="B10" s="119" t="s">
        <v>5</v>
      </c>
      <c r="C10" s="119">
        <v>900</v>
      </c>
      <c r="D10" s="5">
        <f t="shared" ref="D10" si="1">E10+F10</f>
        <v>84899736.810000017</v>
      </c>
      <c r="E10" s="2">
        <f>E13+E46+E61+E94</f>
        <v>84899736.810000017</v>
      </c>
      <c r="F10" s="2">
        <f>F13+F46+F61+F94</f>
        <v>0</v>
      </c>
      <c r="G10" s="5">
        <f t="shared" si="0"/>
        <v>84899736.810000017</v>
      </c>
      <c r="H10" s="2">
        <f>H13+H46+H61+H94</f>
        <v>84899736.810000017</v>
      </c>
      <c r="I10" s="2">
        <f>I13+I46+I61+I94</f>
        <v>0</v>
      </c>
    </row>
    <row r="11" spans="1:9" ht="18.75" x14ac:dyDescent="0.25">
      <c r="A11" s="115" t="s">
        <v>6</v>
      </c>
      <c r="B11" s="119"/>
      <c r="C11" s="119"/>
      <c r="D11" s="5"/>
      <c r="E11" s="2"/>
      <c r="F11" s="2"/>
      <c r="G11" s="5"/>
      <c r="H11" s="2"/>
      <c r="I11" s="4"/>
    </row>
    <row r="12" spans="1:9" ht="33.6" customHeight="1" x14ac:dyDescent="0.25">
      <c r="A12" s="327" t="s">
        <v>200</v>
      </c>
      <c r="B12" s="328"/>
      <c r="C12" s="328"/>
      <c r="D12" s="328"/>
      <c r="E12" s="328"/>
      <c r="F12" s="328"/>
      <c r="G12" s="328"/>
      <c r="H12" s="328"/>
      <c r="I12" s="329"/>
    </row>
    <row r="13" spans="1:9" ht="18.75" x14ac:dyDescent="0.25">
      <c r="A13" s="115" t="s">
        <v>8</v>
      </c>
      <c r="B13" s="119" t="s">
        <v>5</v>
      </c>
      <c r="C13" s="119">
        <v>200</v>
      </c>
      <c r="D13" s="5">
        <f t="shared" ref="D13:D50" si="2">E13+F13</f>
        <v>0</v>
      </c>
      <c r="E13" s="2">
        <f>E15+E18+E42</f>
        <v>0</v>
      </c>
      <c r="F13" s="2">
        <f>F15+F18+F42</f>
        <v>0</v>
      </c>
      <c r="G13" s="5">
        <f t="shared" ref="G13" si="3">H13+I13</f>
        <v>0</v>
      </c>
      <c r="H13" s="2">
        <f>H15+H18+H42</f>
        <v>0</v>
      </c>
      <c r="I13" s="4">
        <f>I15+I18+I42</f>
        <v>0</v>
      </c>
    </row>
    <row r="14" spans="1:9" ht="14.45" customHeight="1" x14ac:dyDescent="0.25">
      <c r="A14" s="115" t="s">
        <v>9</v>
      </c>
      <c r="B14" s="119"/>
      <c r="C14" s="119"/>
      <c r="D14" s="5"/>
      <c r="E14" s="2"/>
      <c r="F14" s="2"/>
      <c r="G14" s="5"/>
      <c r="H14" s="2"/>
      <c r="I14" s="4"/>
    </row>
    <row r="15" spans="1:9" ht="75" x14ac:dyDescent="0.25">
      <c r="A15" s="115" t="s">
        <v>10</v>
      </c>
      <c r="B15" s="119" t="s">
        <v>5</v>
      </c>
      <c r="C15" s="119">
        <v>210</v>
      </c>
      <c r="D15" s="5">
        <f t="shared" si="2"/>
        <v>0</v>
      </c>
      <c r="E15" s="2">
        <f>E17</f>
        <v>0</v>
      </c>
      <c r="F15" s="2">
        <f>F17</f>
        <v>0</v>
      </c>
      <c r="G15" s="5">
        <f t="shared" ref="G15" si="4">H15+I15</f>
        <v>0</v>
      </c>
      <c r="H15" s="2">
        <f>H17</f>
        <v>0</v>
      </c>
      <c r="I15" s="4">
        <f>I17</f>
        <v>0</v>
      </c>
    </row>
    <row r="16" spans="1:9" ht="18.75" x14ac:dyDescent="0.25">
      <c r="A16" s="115" t="s">
        <v>9</v>
      </c>
      <c r="B16" s="119"/>
      <c r="C16" s="119"/>
      <c r="D16" s="5"/>
      <c r="E16" s="2"/>
      <c r="F16" s="2"/>
      <c r="G16" s="5"/>
      <c r="H16" s="2"/>
      <c r="I16" s="4"/>
    </row>
    <row r="17" spans="1:9" ht="93.75" x14ac:dyDescent="0.25">
      <c r="A17" s="115" t="s">
        <v>201</v>
      </c>
      <c r="B17" s="119">
        <v>244</v>
      </c>
      <c r="C17" s="119">
        <v>214</v>
      </c>
      <c r="D17" s="5">
        <f>E17+F17</f>
        <v>0</v>
      </c>
      <c r="E17" s="2">
        <f>'гос.задание на 2023-2024 год '!E131</f>
        <v>0</v>
      </c>
      <c r="F17" s="2">
        <f>'гос.задание на 2023-2024 год '!F131</f>
        <v>0</v>
      </c>
      <c r="G17" s="5">
        <f>H17+I17</f>
        <v>0</v>
      </c>
      <c r="H17" s="2">
        <f>'гос.задание на 2023-2024 год '!H131</f>
        <v>0</v>
      </c>
      <c r="I17" s="2">
        <f>'гос.задание на 2023-2024 год '!I131</f>
        <v>0</v>
      </c>
    </row>
    <row r="18" spans="1:9" ht="37.5" x14ac:dyDescent="0.25">
      <c r="A18" s="115" t="s">
        <v>14</v>
      </c>
      <c r="B18" s="119" t="s">
        <v>5</v>
      </c>
      <c r="C18" s="119">
        <v>220</v>
      </c>
      <c r="D18" s="5">
        <f t="shared" si="2"/>
        <v>0</v>
      </c>
      <c r="E18" s="2">
        <f>E20+E21+E22+E33+E34+E37+E40</f>
        <v>0</v>
      </c>
      <c r="F18" s="2">
        <f>F20+F21+F22+F33+F34+F37+F40</f>
        <v>0</v>
      </c>
      <c r="G18" s="5">
        <f t="shared" ref="G18" si="5">H18+I18</f>
        <v>0</v>
      </c>
      <c r="H18" s="2">
        <f>H20+H21+H22+H33+H34+H37+H40</f>
        <v>0</v>
      </c>
      <c r="I18" s="4">
        <f>I20+I21+I22+I33+I34+I37+I40</f>
        <v>0</v>
      </c>
    </row>
    <row r="19" spans="1:9" ht="18.75" x14ac:dyDescent="0.25">
      <c r="A19" s="115" t="s">
        <v>9</v>
      </c>
      <c r="B19" s="119"/>
      <c r="C19" s="119"/>
      <c r="D19" s="5"/>
      <c r="E19" s="2"/>
      <c r="F19" s="2"/>
      <c r="G19" s="5"/>
      <c r="H19" s="2"/>
      <c r="I19" s="4"/>
    </row>
    <row r="20" spans="1:9" ht="18.75" x14ac:dyDescent="0.25">
      <c r="A20" s="115" t="s">
        <v>15</v>
      </c>
      <c r="B20" s="119">
        <v>244</v>
      </c>
      <c r="C20" s="119">
        <v>221</v>
      </c>
      <c r="D20" s="5">
        <f t="shared" si="2"/>
        <v>0</v>
      </c>
      <c r="E20" s="2">
        <f>'гос.задание на 2023-2024 год '!E134</f>
        <v>0</v>
      </c>
      <c r="F20" s="2">
        <f>'гос.задание на 2023-2024 год '!F134</f>
        <v>0</v>
      </c>
      <c r="G20" s="5">
        <f t="shared" ref="G20:G22" si="6">H20+I20</f>
        <v>0</v>
      </c>
      <c r="H20" s="2">
        <f>'гос.задание на 2023-2024 год '!H134</f>
        <v>0</v>
      </c>
      <c r="I20" s="2">
        <f>'гос.задание на 2023-2024 год '!I134</f>
        <v>0</v>
      </c>
    </row>
    <row r="21" spans="1:9" ht="37.5" x14ac:dyDescent="0.25">
      <c r="A21" s="115" t="s">
        <v>16</v>
      </c>
      <c r="B21" s="119">
        <v>244</v>
      </c>
      <c r="C21" s="119">
        <v>222</v>
      </c>
      <c r="D21" s="5">
        <f t="shared" si="2"/>
        <v>0</v>
      </c>
      <c r="E21" s="2">
        <f>'гос.задание на 2023-2024 год '!E135</f>
        <v>0</v>
      </c>
      <c r="F21" s="2">
        <f>'гос.задание на 2023-2024 год '!F135</f>
        <v>0</v>
      </c>
      <c r="G21" s="5">
        <f t="shared" si="6"/>
        <v>0</v>
      </c>
      <c r="H21" s="2">
        <f>'гос.задание на 2023-2024 год '!H135</f>
        <v>0</v>
      </c>
      <c r="I21" s="2">
        <f>'гос.задание на 2023-2024 год '!I135</f>
        <v>0</v>
      </c>
    </row>
    <row r="22" spans="1:9" ht="37.5" x14ac:dyDescent="0.25">
      <c r="A22" s="115" t="s">
        <v>17</v>
      </c>
      <c r="B22" s="119" t="s">
        <v>5</v>
      </c>
      <c r="C22" s="119">
        <v>223</v>
      </c>
      <c r="D22" s="5">
        <f t="shared" si="2"/>
        <v>0</v>
      </c>
      <c r="E22" s="2">
        <f t="shared" ref="E22:F22" si="7">E25+E27+E29+E30+E31</f>
        <v>0</v>
      </c>
      <c r="F22" s="2">
        <f t="shared" si="7"/>
        <v>0</v>
      </c>
      <c r="G22" s="5">
        <f t="shared" si="6"/>
        <v>0</v>
      </c>
      <c r="H22" s="2">
        <f t="shared" ref="H22:I22" si="8">H25+H27+H29+H30+H31</f>
        <v>0</v>
      </c>
      <c r="I22" s="4">
        <f t="shared" si="8"/>
        <v>0</v>
      </c>
    </row>
    <row r="23" spans="1:9" ht="18.75" x14ac:dyDescent="0.25">
      <c r="A23" s="115" t="s">
        <v>6</v>
      </c>
      <c r="B23" s="119"/>
      <c r="C23" s="119"/>
      <c r="D23" s="5"/>
      <c r="E23" s="2"/>
      <c r="F23" s="2"/>
      <c r="G23" s="5"/>
      <c r="H23" s="2"/>
      <c r="I23" s="4"/>
    </row>
    <row r="24" spans="1:9" ht="56.25" x14ac:dyDescent="0.25">
      <c r="A24" s="190" t="s">
        <v>18</v>
      </c>
      <c r="B24" s="191">
        <v>244</v>
      </c>
      <c r="C24" s="191">
        <v>223</v>
      </c>
      <c r="D24" s="5">
        <f t="shared" ref="D24" si="9">E24+F24</f>
        <v>0</v>
      </c>
      <c r="E24" s="2">
        <f>'гос.задание на 2023-2024 год '!E137</f>
        <v>0</v>
      </c>
      <c r="F24" s="2">
        <f>'гос.задание на 2023-2024 год '!F137</f>
        <v>0</v>
      </c>
      <c r="G24" s="5">
        <f t="shared" ref="G24" si="10">H24+I24</f>
        <v>0</v>
      </c>
      <c r="H24" s="2">
        <f>'гос.задание на 2023-2024 год '!H137</f>
        <v>0</v>
      </c>
      <c r="I24" s="2">
        <f>'гос.задание на 2023-2024 год '!I137</f>
        <v>0</v>
      </c>
    </row>
    <row r="25" spans="1:9" ht="56.25" x14ac:dyDescent="0.25">
      <c r="A25" s="115" t="s">
        <v>18</v>
      </c>
      <c r="B25" s="119">
        <v>247</v>
      </c>
      <c r="C25" s="119">
        <v>223</v>
      </c>
      <c r="D25" s="5">
        <f t="shared" si="2"/>
        <v>0</v>
      </c>
      <c r="E25" s="2">
        <f>'гос.задание на 2023-2024 год '!E138</f>
        <v>0</v>
      </c>
      <c r="F25" s="2">
        <f>'гос.задание на 2023-2024 год '!F138</f>
        <v>0</v>
      </c>
      <c r="G25" s="5">
        <f t="shared" ref="G25:G33" si="11">H25+I25</f>
        <v>0</v>
      </c>
      <c r="H25" s="2">
        <f>'гос.задание на 2023-2024 год '!H138</f>
        <v>0</v>
      </c>
      <c r="I25" s="2">
        <f>'гос.задание на 2023-2024 год '!I138</f>
        <v>0</v>
      </c>
    </row>
    <row r="26" spans="1:9" ht="37.5" x14ac:dyDescent="0.25">
      <c r="A26" s="190" t="s">
        <v>19</v>
      </c>
      <c r="B26" s="191">
        <v>244</v>
      </c>
      <c r="C26" s="191">
        <v>223</v>
      </c>
      <c r="D26" s="5">
        <f t="shared" ref="D26" si="12">E26+F26</f>
        <v>0</v>
      </c>
      <c r="E26" s="2">
        <f>'гос.задание на 2023-2024 год '!E138</f>
        <v>0</v>
      </c>
      <c r="F26" s="2">
        <f>'гос.задание на 2023-2024 год '!F138</f>
        <v>0</v>
      </c>
      <c r="G26" s="5">
        <f t="shared" ref="G26" si="13">H26+I26</f>
        <v>0</v>
      </c>
      <c r="H26" s="2">
        <f>'гос.задание на 2023-2024 год '!H138</f>
        <v>0</v>
      </c>
      <c r="I26" s="2">
        <f>'гос.задание на 2023-2024 год '!I138</f>
        <v>0</v>
      </c>
    </row>
    <row r="27" spans="1:9" ht="37.5" x14ac:dyDescent="0.25">
      <c r="A27" s="115" t="s">
        <v>19</v>
      </c>
      <c r="B27" s="119">
        <v>247</v>
      </c>
      <c r="C27" s="119">
        <v>223</v>
      </c>
      <c r="D27" s="5">
        <f t="shared" si="2"/>
        <v>0</v>
      </c>
      <c r="E27" s="2">
        <f>'гос.задание на 2023-2024 год '!E139</f>
        <v>0</v>
      </c>
      <c r="F27" s="2">
        <f>'гос.задание на 2023-2024 год '!F139</f>
        <v>0</v>
      </c>
      <c r="G27" s="5">
        <f t="shared" si="11"/>
        <v>0</v>
      </c>
      <c r="H27" s="2">
        <f>'гос.задание на 2023-2024 год '!H139</f>
        <v>0</v>
      </c>
      <c r="I27" s="2">
        <f>'гос.задание на 2023-2024 год '!I139</f>
        <v>0</v>
      </c>
    </row>
    <row r="28" spans="1:9" ht="75" x14ac:dyDescent="0.25">
      <c r="A28" s="190" t="s">
        <v>20</v>
      </c>
      <c r="B28" s="191">
        <v>244</v>
      </c>
      <c r="C28" s="191">
        <v>223</v>
      </c>
      <c r="D28" s="5">
        <f t="shared" ref="D28" si="14">E28+F28</f>
        <v>0</v>
      </c>
      <c r="E28" s="2">
        <v>0</v>
      </c>
      <c r="F28" s="2">
        <f>'гос.задание на 2023-2024 год '!F139</f>
        <v>0</v>
      </c>
      <c r="G28" s="5">
        <f t="shared" ref="G28" si="15">H28+I28</f>
        <v>0</v>
      </c>
      <c r="H28" s="2">
        <f>'гос.задание на 2023-2024 год '!H139</f>
        <v>0</v>
      </c>
      <c r="I28" s="2">
        <f>'гос.задание на 2023-2024 год '!I139</f>
        <v>0</v>
      </c>
    </row>
    <row r="29" spans="1:9" ht="75" x14ac:dyDescent="0.25">
      <c r="A29" s="115" t="s">
        <v>20</v>
      </c>
      <c r="B29" s="119">
        <v>247</v>
      </c>
      <c r="C29" s="119">
        <v>223</v>
      </c>
      <c r="D29" s="5">
        <f t="shared" si="2"/>
        <v>0</v>
      </c>
      <c r="E29" s="2">
        <f>'гос.задание на 2023-2024 год '!E140</f>
        <v>0</v>
      </c>
      <c r="F29" s="2">
        <f>'гос.задание на 2023-2024 год '!F140</f>
        <v>0</v>
      </c>
      <c r="G29" s="5">
        <f t="shared" si="11"/>
        <v>0</v>
      </c>
      <c r="H29" s="2">
        <f>'гос.задание на 2023-2024 год '!H140</f>
        <v>0</v>
      </c>
      <c r="I29" s="2">
        <f>'гос.задание на 2023-2024 год '!I140</f>
        <v>0</v>
      </c>
    </row>
    <row r="30" spans="1:9" ht="75" x14ac:dyDescent="0.25">
      <c r="A30" s="115" t="s">
        <v>21</v>
      </c>
      <c r="B30" s="119">
        <v>244</v>
      </c>
      <c r="C30" s="119">
        <v>223</v>
      </c>
      <c r="D30" s="5">
        <f t="shared" si="2"/>
        <v>0</v>
      </c>
      <c r="E30" s="2">
        <f>'гос.задание на 2023-2024 год '!E141</f>
        <v>0</v>
      </c>
      <c r="F30" s="2">
        <f>'гос.задание на 2023-2024 год '!F141</f>
        <v>0</v>
      </c>
      <c r="G30" s="5">
        <f t="shared" si="11"/>
        <v>0</v>
      </c>
      <c r="H30" s="2">
        <f>'гос.задание на 2023-2024 год '!H141</f>
        <v>0</v>
      </c>
      <c r="I30" s="2">
        <f>'гос.задание на 2023-2024 год '!I141</f>
        <v>0</v>
      </c>
    </row>
    <row r="31" spans="1:9" ht="56.25" x14ac:dyDescent="0.25">
      <c r="A31" s="115" t="s">
        <v>22</v>
      </c>
      <c r="B31" s="119">
        <v>244</v>
      </c>
      <c r="C31" s="119">
        <v>223</v>
      </c>
      <c r="D31" s="5">
        <f t="shared" si="2"/>
        <v>0</v>
      </c>
      <c r="E31" s="2">
        <f>'гос.задание на 2023-2024 год '!E142</f>
        <v>0</v>
      </c>
      <c r="F31" s="2">
        <f>'гос.задание на 2023-2024 год '!F142</f>
        <v>0</v>
      </c>
      <c r="G31" s="5">
        <f t="shared" si="11"/>
        <v>0</v>
      </c>
      <c r="H31" s="2">
        <f>'гос.задание на 2023-2024 год '!H142</f>
        <v>0</v>
      </c>
      <c r="I31" s="2">
        <f>'гос.задание на 2023-2024 год '!I142</f>
        <v>0</v>
      </c>
    </row>
    <row r="32" spans="1:9" ht="56.25" x14ac:dyDescent="0.25">
      <c r="A32" s="195" t="s">
        <v>442</v>
      </c>
      <c r="B32" s="196">
        <v>244</v>
      </c>
      <c r="C32" s="196">
        <v>223</v>
      </c>
      <c r="D32" s="5">
        <f t="shared" ref="D32" si="16">E32+F32</f>
        <v>0</v>
      </c>
      <c r="E32" s="2">
        <f>'гос.задание на 2023-2024 год '!E143</f>
        <v>0</v>
      </c>
      <c r="F32" s="2">
        <f>'гос.задание на 2023-2024 год '!F143</f>
        <v>0</v>
      </c>
      <c r="G32" s="5">
        <f t="shared" ref="G32" si="17">H32+I32</f>
        <v>0</v>
      </c>
      <c r="H32" s="2">
        <f>'гос.задание на 2023-2024 год '!H143</f>
        <v>0</v>
      </c>
      <c r="I32" s="2">
        <f>'гос.задание на 2023-2024 год '!I143</f>
        <v>0</v>
      </c>
    </row>
    <row r="33" spans="1:9" ht="168.75" x14ac:dyDescent="0.25">
      <c r="A33" s="115" t="s">
        <v>23</v>
      </c>
      <c r="B33" s="119">
        <v>244</v>
      </c>
      <c r="C33" s="119">
        <v>224</v>
      </c>
      <c r="D33" s="5">
        <f t="shared" si="2"/>
        <v>0</v>
      </c>
      <c r="E33" s="2">
        <f>'гос.задание на 2023-2024 год '!E144</f>
        <v>0</v>
      </c>
      <c r="F33" s="2">
        <f>'гос.задание на 2023-2024 год '!F144</f>
        <v>0</v>
      </c>
      <c r="G33" s="5">
        <f t="shared" si="11"/>
        <v>0</v>
      </c>
      <c r="H33" s="2">
        <f>'гос.задание на 2023-2024 год '!H144</f>
        <v>0</v>
      </c>
      <c r="I33" s="2">
        <f>'гос.задание на 2023-2024 год '!I144</f>
        <v>0</v>
      </c>
    </row>
    <row r="34" spans="1:9" ht="56.25" x14ac:dyDescent="0.25">
      <c r="A34" s="115" t="s">
        <v>24</v>
      </c>
      <c r="B34" s="119" t="s">
        <v>5</v>
      </c>
      <c r="C34" s="119">
        <v>225</v>
      </c>
      <c r="D34" s="2">
        <f t="shared" ref="D34:F34" si="18">D35+D36</f>
        <v>0</v>
      </c>
      <c r="E34" s="2">
        <f>E35+E36</f>
        <v>0</v>
      </c>
      <c r="F34" s="2">
        <f t="shared" si="18"/>
        <v>0</v>
      </c>
      <c r="G34" s="2">
        <f t="shared" ref="G34" si="19">G35+G36</f>
        <v>0</v>
      </c>
      <c r="H34" s="2">
        <f>H35+H36</f>
        <v>0</v>
      </c>
      <c r="I34" s="4">
        <f t="shared" ref="I34" si="20">I35+I36</f>
        <v>0</v>
      </c>
    </row>
    <row r="35" spans="1:9" ht="18.75" x14ac:dyDescent="0.25">
      <c r="A35" s="221" t="s">
        <v>6</v>
      </c>
      <c r="B35" s="119">
        <v>243</v>
      </c>
      <c r="C35" s="119">
        <v>225</v>
      </c>
      <c r="D35" s="5">
        <f t="shared" si="2"/>
        <v>0</v>
      </c>
      <c r="E35" s="2">
        <f>'гос.задание на 2023-2024 год '!E146</f>
        <v>0</v>
      </c>
      <c r="F35" s="2">
        <f>'гос.задание на 2023-2024 год '!F146</f>
        <v>0</v>
      </c>
      <c r="G35" s="5">
        <f t="shared" ref="G35:G46" si="21">H35+I35</f>
        <v>0</v>
      </c>
      <c r="H35" s="2">
        <f>'гос.задание на 2023-2024 год '!H146</f>
        <v>0</v>
      </c>
      <c r="I35" s="2">
        <f>'гос.задание на 2023-2024 год '!I146</f>
        <v>0</v>
      </c>
    </row>
    <row r="36" spans="1:9" ht="18.75" x14ac:dyDescent="0.25">
      <c r="A36" s="221"/>
      <c r="B36" s="119">
        <v>244</v>
      </c>
      <c r="C36" s="119">
        <v>225</v>
      </c>
      <c r="D36" s="5">
        <f t="shared" si="2"/>
        <v>0</v>
      </c>
      <c r="E36" s="2">
        <f>'гос.задание на 2023-2024 год '!E147</f>
        <v>0</v>
      </c>
      <c r="F36" s="2">
        <f>'гос.задание на 2023-2024 год '!F147</f>
        <v>0</v>
      </c>
      <c r="G36" s="5">
        <f t="shared" si="21"/>
        <v>0</v>
      </c>
      <c r="H36" s="2">
        <f>'гос.задание на 2023-2024 год '!H147</f>
        <v>0</v>
      </c>
      <c r="I36" s="2">
        <f>'гос.задание на 2023-2024 год '!I147</f>
        <v>0</v>
      </c>
    </row>
    <row r="37" spans="1:9" ht="37.5" x14ac:dyDescent="0.25">
      <c r="A37" s="115" t="s">
        <v>58</v>
      </c>
      <c r="B37" s="119" t="s">
        <v>5</v>
      </c>
      <c r="C37" s="119">
        <v>226</v>
      </c>
      <c r="D37" s="5">
        <f t="shared" si="2"/>
        <v>0</v>
      </c>
      <c r="E37" s="2">
        <f>E38+E39</f>
        <v>0</v>
      </c>
      <c r="F37" s="2">
        <f>F38+F39</f>
        <v>0</v>
      </c>
      <c r="G37" s="5">
        <f t="shared" si="21"/>
        <v>0</v>
      </c>
      <c r="H37" s="2">
        <f>H38+H39</f>
        <v>0</v>
      </c>
      <c r="I37" s="4">
        <f>I38+I39</f>
        <v>0</v>
      </c>
    </row>
    <row r="38" spans="1:9" ht="18.75" x14ac:dyDescent="0.25">
      <c r="A38" s="221" t="s">
        <v>6</v>
      </c>
      <c r="B38" s="119">
        <v>243</v>
      </c>
      <c r="C38" s="119">
        <v>226</v>
      </c>
      <c r="D38" s="5">
        <f t="shared" si="2"/>
        <v>0</v>
      </c>
      <c r="E38" s="2">
        <f>'гос.задание на 2023-2024 год '!E149</f>
        <v>0</v>
      </c>
      <c r="F38" s="2">
        <f>'гос.задание на 2023-2024 год '!F149</f>
        <v>0</v>
      </c>
      <c r="G38" s="5">
        <f t="shared" si="21"/>
        <v>0</v>
      </c>
      <c r="H38" s="2">
        <f>'гос.задание на 2023-2024 год '!H149</f>
        <v>0</v>
      </c>
      <c r="I38" s="2">
        <f>'гос.задание на 2023-2024 год '!I149</f>
        <v>0</v>
      </c>
    </row>
    <row r="39" spans="1:9" ht="18.75" x14ac:dyDescent="0.25">
      <c r="A39" s="221"/>
      <c r="B39" s="119">
        <v>244</v>
      </c>
      <c r="C39" s="119">
        <v>226</v>
      </c>
      <c r="D39" s="5">
        <f t="shared" si="2"/>
        <v>0</v>
      </c>
      <c r="E39" s="2">
        <f>'гос.задание на 2023-2024 год '!E150</f>
        <v>0</v>
      </c>
      <c r="F39" s="2">
        <f>'гос.задание на 2023-2024 год '!F150</f>
        <v>0</v>
      </c>
      <c r="G39" s="5">
        <f t="shared" si="21"/>
        <v>0</v>
      </c>
      <c r="H39" s="2">
        <f>'гос.задание на 2023-2024 год '!H150</f>
        <v>0</v>
      </c>
      <c r="I39" s="2">
        <f>'гос.задание на 2023-2024 год '!I150</f>
        <v>0</v>
      </c>
    </row>
    <row r="40" spans="1:9" ht="18.75" x14ac:dyDescent="0.25">
      <c r="A40" s="115" t="s">
        <v>25</v>
      </c>
      <c r="B40" s="119">
        <v>244</v>
      </c>
      <c r="C40" s="119">
        <v>227</v>
      </c>
      <c r="D40" s="5">
        <f t="shared" si="2"/>
        <v>0</v>
      </c>
      <c r="E40" s="2">
        <f>'гос.задание на 2023-2024 год '!E151</f>
        <v>0</v>
      </c>
      <c r="F40" s="2">
        <f>'гос.задание на 2023-2024 год '!F151</f>
        <v>0</v>
      </c>
      <c r="G40" s="5">
        <f t="shared" si="21"/>
        <v>0</v>
      </c>
      <c r="H40" s="2">
        <f>'гос.задание на 2023-2024 год '!H151</f>
        <v>0</v>
      </c>
      <c r="I40" s="2">
        <f>'гос.задание на 2023-2024 год '!I151</f>
        <v>0</v>
      </c>
    </row>
    <row r="41" spans="1:9" ht="56.25" x14ac:dyDescent="0.25">
      <c r="A41" s="170" t="s">
        <v>345</v>
      </c>
      <c r="B41" s="171">
        <v>244</v>
      </c>
      <c r="C41" s="171">
        <v>228</v>
      </c>
      <c r="D41" s="5">
        <f>E41+F41</f>
        <v>0</v>
      </c>
      <c r="E41" s="2">
        <f>'гос.задание на 2023-2024 год '!E153</f>
        <v>0</v>
      </c>
      <c r="F41" s="2">
        <f>'гос.задание на 2023-2024 год '!F153</f>
        <v>0</v>
      </c>
      <c r="G41" s="5">
        <f t="shared" ref="G41" si="22">H41+I41</f>
        <v>0</v>
      </c>
      <c r="H41" s="2">
        <f>'гос.задание на 2023-2024 год '!H153</f>
        <v>0</v>
      </c>
      <c r="I41" s="2">
        <f>'гос.задание на 2023-2024 год '!I153</f>
        <v>0</v>
      </c>
    </row>
    <row r="42" spans="1:9" ht="18.75" x14ac:dyDescent="0.25">
      <c r="A42" s="115" t="s">
        <v>30</v>
      </c>
      <c r="B42" s="119" t="s">
        <v>5</v>
      </c>
      <c r="C42" s="119">
        <v>290</v>
      </c>
      <c r="D42" s="5">
        <f t="shared" si="2"/>
        <v>0</v>
      </c>
      <c r="E42" s="2">
        <f>E44+E45</f>
        <v>0</v>
      </c>
      <c r="F42" s="2">
        <f>F44+F45</f>
        <v>0</v>
      </c>
      <c r="G42" s="5">
        <f t="shared" si="21"/>
        <v>0</v>
      </c>
      <c r="H42" s="2">
        <f>H44+H45</f>
        <v>0</v>
      </c>
      <c r="I42" s="4">
        <f>I44+I45</f>
        <v>0</v>
      </c>
    </row>
    <row r="43" spans="1:9" ht="18.75" x14ac:dyDescent="0.25">
      <c r="A43" s="115" t="s">
        <v>9</v>
      </c>
      <c r="B43" s="119"/>
      <c r="C43" s="119"/>
      <c r="D43" s="5"/>
      <c r="E43" s="2"/>
      <c r="F43" s="2"/>
      <c r="G43" s="5"/>
      <c r="H43" s="2"/>
      <c r="I43" s="4"/>
    </row>
    <row r="44" spans="1:9" ht="56.25" x14ac:dyDescent="0.25">
      <c r="A44" s="115" t="s">
        <v>34</v>
      </c>
      <c r="B44" s="119">
        <v>244</v>
      </c>
      <c r="C44" s="119">
        <v>296</v>
      </c>
      <c r="D44" s="5">
        <f t="shared" si="2"/>
        <v>0</v>
      </c>
      <c r="E44" s="2">
        <f>'гос.задание на 2023-2024 год '!E155</f>
        <v>0</v>
      </c>
      <c r="F44" s="2">
        <f>'гос.задание на 2023-2024 год '!F155</f>
        <v>0</v>
      </c>
      <c r="G44" s="5">
        <f t="shared" si="21"/>
        <v>0</v>
      </c>
      <c r="H44" s="2">
        <f>'гос.задание на 2023-2024 год '!H155</f>
        <v>0</v>
      </c>
      <c r="I44" s="2">
        <f>'гос.задание на 2023-2024 год '!I155</f>
        <v>0</v>
      </c>
    </row>
    <row r="45" spans="1:9" ht="56.25" x14ac:dyDescent="0.25">
      <c r="A45" s="115" t="s">
        <v>35</v>
      </c>
      <c r="B45" s="119">
        <v>244</v>
      </c>
      <c r="C45" s="119">
        <v>297</v>
      </c>
      <c r="D45" s="5">
        <f t="shared" si="2"/>
        <v>0</v>
      </c>
      <c r="E45" s="2">
        <f>'гос.задание на 2023-2024 год '!E156</f>
        <v>0</v>
      </c>
      <c r="F45" s="2">
        <f>'гос.задание на 2023-2024 год '!F156</f>
        <v>0</v>
      </c>
      <c r="G45" s="5">
        <f t="shared" si="21"/>
        <v>0</v>
      </c>
      <c r="H45" s="2">
        <f>'гос.задание на 2023-2024 год '!H156</f>
        <v>0</v>
      </c>
      <c r="I45" s="2">
        <f>'гос.задание на 2023-2024 год '!I156</f>
        <v>0</v>
      </c>
    </row>
    <row r="46" spans="1:9" ht="56.25" x14ac:dyDescent="0.25">
      <c r="A46" s="115" t="s">
        <v>59</v>
      </c>
      <c r="B46" s="119" t="s">
        <v>5</v>
      </c>
      <c r="C46" s="119">
        <v>300</v>
      </c>
      <c r="D46" s="5">
        <f t="shared" si="2"/>
        <v>0</v>
      </c>
      <c r="E46" s="2">
        <f>E48+E50+E49</f>
        <v>0</v>
      </c>
      <c r="F46" s="2">
        <f>F48+F50+F49</f>
        <v>0</v>
      </c>
      <c r="G46" s="5">
        <f t="shared" si="21"/>
        <v>0</v>
      </c>
      <c r="H46" s="2">
        <f>H48+H50+H49</f>
        <v>0</v>
      </c>
      <c r="I46" s="4">
        <f>I48+I50+I49</f>
        <v>0</v>
      </c>
    </row>
    <row r="47" spans="1:9" ht="18.75" x14ac:dyDescent="0.25">
      <c r="A47" s="115" t="s">
        <v>9</v>
      </c>
      <c r="B47" s="119"/>
      <c r="C47" s="119"/>
      <c r="D47" s="5"/>
      <c r="E47" s="2"/>
      <c r="F47" s="2"/>
      <c r="G47" s="5"/>
      <c r="H47" s="2"/>
      <c r="I47" s="4"/>
    </row>
    <row r="48" spans="1:9" ht="56.25" x14ac:dyDescent="0.25">
      <c r="A48" s="115" t="s">
        <v>36</v>
      </c>
      <c r="B48" s="119">
        <v>244</v>
      </c>
      <c r="C48" s="119">
        <v>310</v>
      </c>
      <c r="D48" s="5">
        <f t="shared" si="2"/>
        <v>0</v>
      </c>
      <c r="E48" s="2">
        <f>'гос.задание на 2023-2024 год '!E159</f>
        <v>0</v>
      </c>
      <c r="F48" s="2">
        <f>'гос.задание на 2023-2024 год '!F159</f>
        <v>0</v>
      </c>
      <c r="G48" s="5">
        <f t="shared" ref="G48:G50" si="23">H48+I48</f>
        <v>0</v>
      </c>
      <c r="H48" s="2">
        <f>'гос.задание на 2023-2024 год '!H159</f>
        <v>0</v>
      </c>
      <c r="I48" s="2">
        <f>'гос.задание на 2023-2024 год '!I159</f>
        <v>0</v>
      </c>
    </row>
    <row r="49" spans="1:9" ht="75" x14ac:dyDescent="0.25">
      <c r="A49" s="115" t="s">
        <v>68</v>
      </c>
      <c r="B49" s="119">
        <v>244</v>
      </c>
      <c r="C49" s="119">
        <v>320</v>
      </c>
      <c r="D49" s="5">
        <f t="shared" si="2"/>
        <v>0</v>
      </c>
      <c r="E49" s="2">
        <f>'гос.задание на 2023-2024 год '!E160</f>
        <v>0</v>
      </c>
      <c r="F49" s="2">
        <f>'гос.задание на 2023-2024 год '!F160</f>
        <v>0</v>
      </c>
      <c r="G49" s="5">
        <f t="shared" si="23"/>
        <v>0</v>
      </c>
      <c r="H49" s="2">
        <f>'гос.задание на 2023-2024 год '!H160</f>
        <v>0</v>
      </c>
      <c r="I49" s="2">
        <f>'гос.задание на 2023-2024 год '!I160</f>
        <v>0</v>
      </c>
    </row>
    <row r="50" spans="1:9" ht="75" x14ac:dyDescent="0.25">
      <c r="A50" s="115" t="s">
        <v>60</v>
      </c>
      <c r="B50" s="119" t="s">
        <v>5</v>
      </c>
      <c r="C50" s="119">
        <v>340</v>
      </c>
      <c r="D50" s="5">
        <f t="shared" si="2"/>
        <v>0</v>
      </c>
      <c r="E50" s="2">
        <f>E52+E53+E54+E55+E56+E57+E59</f>
        <v>0</v>
      </c>
      <c r="F50" s="2">
        <f>F52+F53+F54+F55+F56+F57+F59</f>
        <v>0</v>
      </c>
      <c r="G50" s="5">
        <f t="shared" si="23"/>
        <v>0</v>
      </c>
      <c r="H50" s="2">
        <f>H52+H53+H54+H55+H56+H57+H59</f>
        <v>0</v>
      </c>
      <c r="I50" s="4">
        <f>I52+I53+I54+I55+I56+I57+I59</f>
        <v>0</v>
      </c>
    </row>
    <row r="51" spans="1:9" ht="18.75" x14ac:dyDescent="0.25">
      <c r="A51" s="115" t="s">
        <v>6</v>
      </c>
      <c r="B51" s="119"/>
      <c r="C51" s="119"/>
      <c r="D51" s="5"/>
      <c r="E51" s="2"/>
      <c r="F51" s="2"/>
      <c r="G51" s="5"/>
      <c r="H51" s="2"/>
      <c r="I51" s="4"/>
    </row>
    <row r="52" spans="1:9" ht="131.25" x14ac:dyDescent="0.25">
      <c r="A52" s="115" t="s">
        <v>37</v>
      </c>
      <c r="B52" s="119">
        <v>244</v>
      </c>
      <c r="C52" s="119">
        <v>341</v>
      </c>
      <c r="D52" s="5">
        <f t="shared" ref="D52:D59" si="24">E52+F52</f>
        <v>0</v>
      </c>
      <c r="E52" s="2">
        <f>'гос.задание на 2023-2024 год '!E163</f>
        <v>0</v>
      </c>
      <c r="F52" s="2">
        <f>'гос.задание на 2023-2024 год '!F163</f>
        <v>0</v>
      </c>
      <c r="G52" s="5">
        <f t="shared" ref="G52:G59" si="25">H52+I52</f>
        <v>0</v>
      </c>
      <c r="H52" s="2">
        <f>'гос.задание на 2023-2024 год '!H163</f>
        <v>0</v>
      </c>
      <c r="I52" s="2">
        <f>'гос.задание на 2023-2024 год '!I163</f>
        <v>0</v>
      </c>
    </row>
    <row r="53" spans="1:9" ht="56.25" x14ac:dyDescent="0.25">
      <c r="A53" s="115" t="s">
        <v>38</v>
      </c>
      <c r="B53" s="119">
        <v>244</v>
      </c>
      <c r="C53" s="119">
        <v>342</v>
      </c>
      <c r="D53" s="5">
        <f t="shared" si="24"/>
        <v>0</v>
      </c>
      <c r="E53" s="2">
        <f>'гос.задание на 2023-2024 год '!E164</f>
        <v>0</v>
      </c>
      <c r="F53" s="2">
        <f>'гос.задание на 2023-2024 год '!F164</f>
        <v>0</v>
      </c>
      <c r="G53" s="5">
        <f t="shared" si="25"/>
        <v>0</v>
      </c>
      <c r="H53" s="2">
        <f>'гос.задание на 2023-2024 год '!H164</f>
        <v>0</v>
      </c>
      <c r="I53" s="2">
        <f>'гос.задание на 2023-2024 год '!I164</f>
        <v>0</v>
      </c>
    </row>
    <row r="54" spans="1:9" ht="75" x14ac:dyDescent="0.25">
      <c r="A54" s="115" t="s">
        <v>39</v>
      </c>
      <c r="B54" s="119">
        <v>244</v>
      </c>
      <c r="C54" s="119">
        <v>343</v>
      </c>
      <c r="D54" s="5">
        <f t="shared" si="24"/>
        <v>0</v>
      </c>
      <c r="E54" s="2">
        <f>'гос.задание на 2023-2024 год '!E165</f>
        <v>0</v>
      </c>
      <c r="F54" s="2">
        <f>'гос.задание на 2023-2024 год '!F165</f>
        <v>0</v>
      </c>
      <c r="G54" s="5">
        <f t="shared" si="25"/>
        <v>0</v>
      </c>
      <c r="H54" s="2">
        <f>'гос.задание на 2023-2024 год '!H165</f>
        <v>0</v>
      </c>
      <c r="I54" s="2">
        <f>'гос.задание на 2023-2024 год '!I165</f>
        <v>0</v>
      </c>
    </row>
    <row r="55" spans="1:9" ht="75" x14ac:dyDescent="0.25">
      <c r="A55" s="115" t="s">
        <v>40</v>
      </c>
      <c r="B55" s="119">
        <v>244</v>
      </c>
      <c r="C55" s="119">
        <v>344</v>
      </c>
      <c r="D55" s="5">
        <f t="shared" si="24"/>
        <v>0</v>
      </c>
      <c r="E55" s="2">
        <f>'гос.задание на 2023-2024 год '!E166</f>
        <v>0</v>
      </c>
      <c r="F55" s="2">
        <f>'гос.задание на 2023-2024 год '!F166</f>
        <v>0</v>
      </c>
      <c r="G55" s="5">
        <f t="shared" si="25"/>
        <v>0</v>
      </c>
      <c r="H55" s="2">
        <f>'гос.задание на 2023-2024 год '!H166</f>
        <v>0</v>
      </c>
      <c r="I55" s="2">
        <f>'гос.задание на 2023-2024 год '!I166</f>
        <v>0</v>
      </c>
    </row>
    <row r="56" spans="1:9" ht="56.25" x14ac:dyDescent="0.25">
      <c r="A56" s="115" t="s">
        <v>41</v>
      </c>
      <c r="B56" s="119">
        <v>244</v>
      </c>
      <c r="C56" s="119">
        <v>345</v>
      </c>
      <c r="D56" s="5">
        <f t="shared" si="24"/>
        <v>0</v>
      </c>
      <c r="E56" s="2">
        <f>'гос.задание на 2023-2024 год '!E167</f>
        <v>0</v>
      </c>
      <c r="F56" s="2">
        <f>'гос.задание на 2023-2024 год '!F167</f>
        <v>0</v>
      </c>
      <c r="G56" s="5">
        <f t="shared" si="25"/>
        <v>0</v>
      </c>
      <c r="H56" s="2">
        <f>'гос.задание на 2023-2024 год '!H167</f>
        <v>0</v>
      </c>
      <c r="I56" s="2">
        <f>'гос.задание на 2023-2024 год '!I167</f>
        <v>0</v>
      </c>
    </row>
    <row r="57" spans="1:9" ht="75" x14ac:dyDescent="0.25">
      <c r="A57" s="115" t="s">
        <v>42</v>
      </c>
      <c r="B57" s="119">
        <v>244</v>
      </c>
      <c r="C57" s="119">
        <v>346</v>
      </c>
      <c r="D57" s="5">
        <f t="shared" si="24"/>
        <v>0</v>
      </c>
      <c r="E57" s="2">
        <f>'гос.задание на 2023-2024 год '!E168</f>
        <v>0</v>
      </c>
      <c r="F57" s="2">
        <f>'гос.задание на 2023-2024 год '!F168</f>
        <v>0</v>
      </c>
      <c r="G57" s="5">
        <f t="shared" si="25"/>
        <v>0</v>
      </c>
      <c r="H57" s="2">
        <f>'гос.задание на 2023-2024 год '!H168</f>
        <v>0</v>
      </c>
      <c r="I57" s="2">
        <f>'гос.задание на 2023-2024 год '!I168</f>
        <v>0</v>
      </c>
    </row>
    <row r="58" spans="1:9" ht="112.5" x14ac:dyDescent="0.25">
      <c r="A58" s="170" t="s">
        <v>346</v>
      </c>
      <c r="B58" s="171">
        <v>244</v>
      </c>
      <c r="C58" s="171">
        <v>347</v>
      </c>
      <c r="D58" s="5">
        <f>E58+F58</f>
        <v>0</v>
      </c>
      <c r="E58" s="2">
        <f>'гос.задание на 2023-2024 год '!E169</f>
        <v>0</v>
      </c>
      <c r="F58" s="2">
        <f>'гос.задание на 2023-2024 год '!F169</f>
        <v>0</v>
      </c>
      <c r="G58" s="5">
        <f t="shared" ref="G58" si="26">H58+I58</f>
        <v>0</v>
      </c>
      <c r="H58" s="2">
        <f>'гос.задание на 2023-2024 год '!H169</f>
        <v>0</v>
      </c>
      <c r="I58" s="2">
        <f>'гос.задание на 2023-2024 год '!I169</f>
        <v>0</v>
      </c>
    </row>
    <row r="59" spans="1:9" ht="112.5" x14ac:dyDescent="0.25">
      <c r="A59" s="115" t="s">
        <v>43</v>
      </c>
      <c r="B59" s="119">
        <v>244</v>
      </c>
      <c r="C59" s="119">
        <v>349</v>
      </c>
      <c r="D59" s="5">
        <f t="shared" si="24"/>
        <v>0</v>
      </c>
      <c r="E59" s="2">
        <f>'гос.задание на 2023-2024 год '!E170</f>
        <v>0</v>
      </c>
      <c r="F59" s="2">
        <f>'гос.задание на 2023-2024 год '!F170</f>
        <v>0</v>
      </c>
      <c r="G59" s="5">
        <f t="shared" si="25"/>
        <v>0</v>
      </c>
      <c r="H59" s="2">
        <f>'гос.задание на 2023-2024 год '!H170</f>
        <v>0</v>
      </c>
      <c r="I59" s="2">
        <f>'гос.задание на 2023-2024 год '!I170</f>
        <v>0</v>
      </c>
    </row>
    <row r="60" spans="1:9" ht="32.450000000000003" customHeight="1" x14ac:dyDescent="0.25">
      <c r="A60" s="327" t="s">
        <v>202</v>
      </c>
      <c r="B60" s="328"/>
      <c r="C60" s="328"/>
      <c r="D60" s="328"/>
      <c r="E60" s="328"/>
      <c r="F60" s="328"/>
      <c r="G60" s="328"/>
      <c r="H60" s="328"/>
      <c r="I60" s="329"/>
    </row>
    <row r="61" spans="1:9" ht="18.75" x14ac:dyDescent="0.25">
      <c r="A61" s="115" t="s">
        <v>8</v>
      </c>
      <c r="B61" s="119" t="s">
        <v>5</v>
      </c>
      <c r="C61" s="119">
        <v>200</v>
      </c>
      <c r="D61" s="5">
        <f t="shared" ref="D61" si="27">E61+F61</f>
        <v>75497833.190000013</v>
      </c>
      <c r="E61" s="2">
        <f>E63+E66+E90</f>
        <v>75497833.190000013</v>
      </c>
      <c r="F61" s="2">
        <f>F63+F66+F90</f>
        <v>0</v>
      </c>
      <c r="G61" s="5">
        <f t="shared" ref="G61" si="28">H61+I61</f>
        <v>75497833.190000013</v>
      </c>
      <c r="H61" s="2">
        <f>H63+H66+H90</f>
        <v>75497833.190000013</v>
      </c>
      <c r="I61" s="2">
        <f>I63+I66+I90</f>
        <v>0</v>
      </c>
    </row>
    <row r="62" spans="1:9" ht="18.75" x14ac:dyDescent="0.25">
      <c r="A62" s="115" t="s">
        <v>9</v>
      </c>
      <c r="B62" s="119"/>
      <c r="C62" s="119"/>
      <c r="D62" s="5"/>
      <c r="E62" s="2"/>
      <c r="F62" s="2"/>
      <c r="G62" s="5"/>
      <c r="H62" s="2"/>
      <c r="I62" s="2"/>
    </row>
    <row r="63" spans="1:9" ht="75" x14ac:dyDescent="0.25">
      <c r="A63" s="115" t="s">
        <v>10</v>
      </c>
      <c r="B63" s="119" t="s">
        <v>5</v>
      </c>
      <c r="C63" s="119">
        <v>210</v>
      </c>
      <c r="D63" s="5">
        <f t="shared" ref="D63" si="29">E63+F63</f>
        <v>0</v>
      </c>
      <c r="E63" s="2">
        <f>E65</f>
        <v>0</v>
      </c>
      <c r="F63" s="2">
        <f>F65</f>
        <v>0</v>
      </c>
      <c r="G63" s="5">
        <f t="shared" ref="G63" si="30">H63+I63</f>
        <v>0</v>
      </c>
      <c r="H63" s="2">
        <f>H65</f>
        <v>0</v>
      </c>
      <c r="I63" s="2">
        <f>I65</f>
        <v>0</v>
      </c>
    </row>
    <row r="64" spans="1:9" ht="18.75" x14ac:dyDescent="0.25">
      <c r="A64" s="115" t="s">
        <v>9</v>
      </c>
      <c r="B64" s="119"/>
      <c r="C64" s="119"/>
      <c r="D64" s="5"/>
      <c r="E64" s="2"/>
      <c r="F64" s="2"/>
      <c r="G64" s="5"/>
      <c r="H64" s="2"/>
      <c r="I64" s="2"/>
    </row>
    <row r="65" spans="1:9" ht="93.75" x14ac:dyDescent="0.25">
      <c r="A65" s="115" t="s">
        <v>201</v>
      </c>
      <c r="B65" s="119">
        <v>244</v>
      </c>
      <c r="C65" s="119">
        <v>214</v>
      </c>
      <c r="D65" s="5">
        <f>E65+F65</f>
        <v>0</v>
      </c>
      <c r="E65" s="2">
        <f>'гос.задание на 2023-2024 год '!E176</f>
        <v>0</v>
      </c>
      <c r="F65" s="2">
        <f>'гос.задание на 2023-2024 год '!F176</f>
        <v>0</v>
      </c>
      <c r="G65" s="5">
        <f>H65+I65</f>
        <v>0</v>
      </c>
      <c r="H65" s="2">
        <f>'гос.задание на 2023-2024 год '!H176</f>
        <v>0</v>
      </c>
      <c r="I65" s="2">
        <f>'гос.задание на 2023-2024 год '!I176</f>
        <v>0</v>
      </c>
    </row>
    <row r="66" spans="1:9" ht="37.5" x14ac:dyDescent="0.25">
      <c r="A66" s="115" t="s">
        <v>14</v>
      </c>
      <c r="B66" s="119" t="s">
        <v>5</v>
      </c>
      <c r="C66" s="119">
        <v>220</v>
      </c>
      <c r="D66" s="5">
        <f t="shared" ref="D66" si="31">E66+F66</f>
        <v>75497833.190000013</v>
      </c>
      <c r="E66" s="2">
        <f>E68+E69+E70+E81+E82+E85+E88+E89</f>
        <v>75497833.190000013</v>
      </c>
      <c r="F66" s="2">
        <f>F68+F69+F70+F81+F82+F85+F88+F89</f>
        <v>0</v>
      </c>
      <c r="G66" s="5">
        <f t="shared" ref="G66" si="32">H66+I66</f>
        <v>75497833.190000013</v>
      </c>
      <c r="H66" s="2">
        <f>H68+H69+H70+H81+H82+H85+H88+H89</f>
        <v>75497833.190000013</v>
      </c>
      <c r="I66" s="2">
        <f>I68+I69+I70+I81+I82+I85+I88+I89</f>
        <v>0</v>
      </c>
    </row>
    <row r="67" spans="1:9" ht="18.75" x14ac:dyDescent="0.25">
      <c r="A67" s="115" t="s">
        <v>9</v>
      </c>
      <c r="B67" s="119"/>
      <c r="C67" s="119"/>
      <c r="D67" s="5"/>
      <c r="E67" s="2"/>
      <c r="F67" s="2"/>
      <c r="G67" s="5"/>
      <c r="H67" s="2"/>
      <c r="I67" s="2"/>
    </row>
    <row r="68" spans="1:9" ht="18.75" x14ac:dyDescent="0.25">
      <c r="A68" s="115" t="s">
        <v>15</v>
      </c>
      <c r="B68" s="119">
        <v>244</v>
      </c>
      <c r="C68" s="119">
        <v>221</v>
      </c>
      <c r="D68" s="5">
        <f t="shared" ref="D68:D70" si="33">E68+F68</f>
        <v>2377640</v>
      </c>
      <c r="E68" s="2">
        <f>'гос.задание на 2023-2024 год '!E179</f>
        <v>2377640</v>
      </c>
      <c r="F68" s="2">
        <f>'гос.задание на 2023-2024 год '!F179</f>
        <v>0</v>
      </c>
      <c r="G68" s="5">
        <f t="shared" ref="G68:G70" si="34">H68+I68</f>
        <v>2377640</v>
      </c>
      <c r="H68" s="2">
        <f>'гос.задание на 2023-2024 год '!H179</f>
        <v>2377640</v>
      </c>
      <c r="I68" s="2">
        <f>'гос.задание на 2023-2024 год '!I179</f>
        <v>0</v>
      </c>
    </row>
    <row r="69" spans="1:9" ht="37.5" x14ac:dyDescent="0.25">
      <c r="A69" s="115" t="s">
        <v>16</v>
      </c>
      <c r="B69" s="119">
        <v>244</v>
      </c>
      <c r="C69" s="119">
        <v>222</v>
      </c>
      <c r="D69" s="5">
        <f t="shared" si="33"/>
        <v>0</v>
      </c>
      <c r="E69" s="2">
        <f>'гос.задание на 2023-2024 год '!E180</f>
        <v>0</v>
      </c>
      <c r="F69" s="2">
        <f>'гос.задание на 2023-2024 год '!F180</f>
        <v>0</v>
      </c>
      <c r="G69" s="5">
        <f t="shared" si="34"/>
        <v>0</v>
      </c>
      <c r="H69" s="2">
        <f>'гос.задание на 2023-2024 год '!H180</f>
        <v>0</v>
      </c>
      <c r="I69" s="2">
        <f>'гос.задание на 2023-2024 год '!I180</f>
        <v>0</v>
      </c>
    </row>
    <row r="70" spans="1:9" ht="37.5" x14ac:dyDescent="0.25">
      <c r="A70" s="115" t="s">
        <v>17</v>
      </c>
      <c r="B70" s="119" t="s">
        <v>5</v>
      </c>
      <c r="C70" s="119">
        <v>223</v>
      </c>
      <c r="D70" s="5">
        <f t="shared" si="33"/>
        <v>36113963.160000004</v>
      </c>
      <c r="E70" s="2">
        <f t="shared" ref="E70:F70" si="35">E73+E75+E77+E78+E79</f>
        <v>36113963.160000004</v>
      </c>
      <c r="F70" s="2">
        <f t="shared" si="35"/>
        <v>0</v>
      </c>
      <c r="G70" s="5">
        <f t="shared" si="34"/>
        <v>36113963.160000004</v>
      </c>
      <c r="H70" s="2">
        <f t="shared" ref="H70:I70" si="36">H73+H75+H77+H78+H79</f>
        <v>36113963.160000004</v>
      </c>
      <c r="I70" s="2">
        <f t="shared" si="36"/>
        <v>0</v>
      </c>
    </row>
    <row r="71" spans="1:9" ht="18.75" x14ac:dyDescent="0.25">
      <c r="A71" s="115" t="s">
        <v>6</v>
      </c>
      <c r="B71" s="119"/>
      <c r="C71" s="119"/>
      <c r="D71" s="5"/>
      <c r="E71" s="2"/>
      <c r="F71" s="2"/>
      <c r="G71" s="5"/>
      <c r="H71" s="2"/>
      <c r="I71" s="2"/>
    </row>
    <row r="72" spans="1:9" ht="56.25" x14ac:dyDescent="0.25">
      <c r="A72" s="190" t="s">
        <v>18</v>
      </c>
      <c r="B72" s="191">
        <v>244</v>
      </c>
      <c r="C72" s="191">
        <v>223</v>
      </c>
      <c r="D72" s="5">
        <f t="shared" ref="D72" si="37">E72+F72</f>
        <v>0</v>
      </c>
      <c r="E72" s="2">
        <f>'гос.задание на 2023-2024 год '!E182</f>
        <v>0</v>
      </c>
      <c r="F72" s="2">
        <f>'гос.задание на 2023-2024 год '!F182</f>
        <v>0</v>
      </c>
      <c r="G72" s="5">
        <f t="shared" ref="G72" si="38">H72+I72</f>
        <v>0</v>
      </c>
      <c r="H72" s="2">
        <f>'гос.задание на 2023-2024 год '!H182</f>
        <v>0</v>
      </c>
      <c r="I72" s="2">
        <f>'гос.задание на 2023-2024 год '!I182</f>
        <v>0</v>
      </c>
    </row>
    <row r="73" spans="1:9" ht="56.25" x14ac:dyDescent="0.25">
      <c r="A73" s="115" t="s">
        <v>18</v>
      </c>
      <c r="B73" s="119">
        <v>247</v>
      </c>
      <c r="C73" s="119">
        <v>223</v>
      </c>
      <c r="D73" s="5">
        <f t="shared" ref="D73:D81" si="39">E73+F73</f>
        <v>0</v>
      </c>
      <c r="E73" s="2">
        <f>'гос.задание на 2023-2024 год '!E183</f>
        <v>0</v>
      </c>
      <c r="F73" s="2">
        <f>'гос.задание на 2023-2024 год '!F183</f>
        <v>0</v>
      </c>
      <c r="G73" s="5">
        <f t="shared" ref="G73:G81" si="40">H73+I73</f>
        <v>0</v>
      </c>
      <c r="H73" s="2">
        <f>'гос.задание на 2023-2024 год '!H183</f>
        <v>0</v>
      </c>
      <c r="I73" s="2">
        <f>'гос.задание на 2023-2024 год '!I183</f>
        <v>0</v>
      </c>
    </row>
    <row r="74" spans="1:9" ht="37.5" x14ac:dyDescent="0.25">
      <c r="A74" s="190" t="s">
        <v>19</v>
      </c>
      <c r="B74" s="191">
        <v>244</v>
      </c>
      <c r="C74" s="191">
        <v>223</v>
      </c>
      <c r="D74" s="5">
        <f t="shared" ref="D74" si="41">E74+F74</f>
        <v>0</v>
      </c>
      <c r="E74" s="2">
        <f>'гос.задание на 2023-2024 год '!E183</f>
        <v>0</v>
      </c>
      <c r="F74" s="2">
        <f>'гос.задание на 2023-2024 год '!F183</f>
        <v>0</v>
      </c>
      <c r="G74" s="5">
        <f t="shared" ref="G74" si="42">H74+I74</f>
        <v>0</v>
      </c>
      <c r="H74" s="2">
        <f>'гос.задание на 2023-2024 год '!H183</f>
        <v>0</v>
      </c>
      <c r="I74" s="2">
        <f>'гос.задание на 2023-2024 год '!I183</f>
        <v>0</v>
      </c>
    </row>
    <row r="75" spans="1:9" ht="37.5" x14ac:dyDescent="0.25">
      <c r="A75" s="115" t="s">
        <v>19</v>
      </c>
      <c r="B75" s="119">
        <v>247</v>
      </c>
      <c r="C75" s="119">
        <v>223</v>
      </c>
      <c r="D75" s="5">
        <f t="shared" si="39"/>
        <v>3626465.69</v>
      </c>
      <c r="E75" s="2">
        <f>'гос.задание на 2023-2024 год '!E184</f>
        <v>3626465.69</v>
      </c>
      <c r="F75" s="2">
        <f>'гос.задание на 2023-2024 год '!F184</f>
        <v>0</v>
      </c>
      <c r="G75" s="5">
        <f t="shared" si="40"/>
        <v>3626465.69</v>
      </c>
      <c r="H75" s="2">
        <f>'гос.задание на 2023-2024 год '!H184</f>
        <v>3626465.69</v>
      </c>
      <c r="I75" s="2">
        <f>'гос.задание на 2023-2024 год '!I184</f>
        <v>0</v>
      </c>
    </row>
    <row r="76" spans="1:9" ht="75" x14ac:dyDescent="0.25">
      <c r="A76" s="190" t="s">
        <v>20</v>
      </c>
      <c r="B76" s="191">
        <v>244</v>
      </c>
      <c r="C76" s="191">
        <v>223</v>
      </c>
      <c r="D76" s="5">
        <f t="shared" ref="D76" si="43">E76+F76</f>
        <v>0</v>
      </c>
      <c r="E76" s="2">
        <v>0</v>
      </c>
      <c r="F76" s="2">
        <f>'гос.задание на 2023-2024 год '!F184</f>
        <v>0</v>
      </c>
      <c r="G76" s="5">
        <f t="shared" ref="G76" si="44">H76+I76</f>
        <v>0</v>
      </c>
      <c r="H76" s="2">
        <v>0</v>
      </c>
      <c r="I76" s="2">
        <f>'гос.задание на 2023-2024 год '!I184</f>
        <v>0</v>
      </c>
    </row>
    <row r="77" spans="1:9" ht="75" x14ac:dyDescent="0.25">
      <c r="A77" s="115" t="s">
        <v>20</v>
      </c>
      <c r="B77" s="119">
        <v>247</v>
      </c>
      <c r="C77" s="119">
        <v>223</v>
      </c>
      <c r="D77" s="5">
        <f t="shared" si="39"/>
        <v>25316126.350000001</v>
      </c>
      <c r="E77" s="2">
        <f>'гос.задание на 2023-2024 год '!E185</f>
        <v>25316126.350000001</v>
      </c>
      <c r="F77" s="2">
        <f>'гос.задание на 2023-2024 год '!F185</f>
        <v>0</v>
      </c>
      <c r="G77" s="5">
        <f t="shared" si="40"/>
        <v>25316126.350000001</v>
      </c>
      <c r="H77" s="2">
        <f>'гос.задание на 2023-2024 год '!H185</f>
        <v>25316126.350000001</v>
      </c>
      <c r="I77" s="2">
        <f>'гос.задание на 2023-2024 год '!I185</f>
        <v>0</v>
      </c>
    </row>
    <row r="78" spans="1:9" ht="75" x14ac:dyDescent="0.25">
      <c r="A78" s="115" t="s">
        <v>21</v>
      </c>
      <c r="B78" s="119">
        <v>244</v>
      </c>
      <c r="C78" s="119">
        <v>223</v>
      </c>
      <c r="D78" s="5">
        <f t="shared" si="39"/>
        <v>6574816.25</v>
      </c>
      <c r="E78" s="2">
        <f>'гос.задание на 2023-2024 год '!E186</f>
        <v>6574816.25</v>
      </c>
      <c r="F78" s="2">
        <f>'гос.задание на 2023-2024 год '!F186</f>
        <v>0</v>
      </c>
      <c r="G78" s="5">
        <f t="shared" si="40"/>
        <v>6574816.25</v>
      </c>
      <c r="H78" s="2">
        <f>'гос.задание на 2023-2024 год '!H186</f>
        <v>6574816.25</v>
      </c>
      <c r="I78" s="2">
        <f>'гос.задание на 2023-2024 год '!I186</f>
        <v>0</v>
      </c>
    </row>
    <row r="79" spans="1:9" ht="56.25" x14ac:dyDescent="0.25">
      <c r="A79" s="115" t="s">
        <v>22</v>
      </c>
      <c r="B79" s="119">
        <v>244</v>
      </c>
      <c r="C79" s="119">
        <v>223</v>
      </c>
      <c r="D79" s="5">
        <f t="shared" si="39"/>
        <v>596554.87</v>
      </c>
      <c r="E79" s="2">
        <f>'гос.задание на 2023-2024 год '!E187</f>
        <v>596554.87</v>
      </c>
      <c r="F79" s="2">
        <f>'гос.задание на 2023-2024 год '!F187</f>
        <v>0</v>
      </c>
      <c r="G79" s="5">
        <f t="shared" si="40"/>
        <v>596554.87</v>
      </c>
      <c r="H79" s="2">
        <f>'гос.задание на 2023-2024 год '!H187</f>
        <v>596554.87</v>
      </c>
      <c r="I79" s="2">
        <f>'гос.задание на 2023-2024 год '!I187</f>
        <v>0</v>
      </c>
    </row>
    <row r="80" spans="1:9" ht="56.25" x14ac:dyDescent="0.25">
      <c r="A80" s="195" t="s">
        <v>442</v>
      </c>
      <c r="B80" s="196">
        <v>244</v>
      </c>
      <c r="C80" s="196">
        <v>223</v>
      </c>
      <c r="D80" s="5">
        <f t="shared" ref="D80" si="45">E80+F80</f>
        <v>0</v>
      </c>
      <c r="E80" s="2">
        <f>'гос.задание на 2023-2024 год '!E188</f>
        <v>0</v>
      </c>
      <c r="F80" s="2">
        <f>'гос.задание на 2023-2024 год '!F188</f>
        <v>0</v>
      </c>
      <c r="G80" s="5">
        <f t="shared" ref="G80" si="46">H80+I80</f>
        <v>0</v>
      </c>
      <c r="H80" s="2">
        <f>'гос.задание на 2023-2024 год '!H188</f>
        <v>0</v>
      </c>
      <c r="I80" s="2">
        <f>'гос.задание на 2023-2024 год '!I188</f>
        <v>0</v>
      </c>
    </row>
    <row r="81" spans="1:9" ht="168.75" x14ac:dyDescent="0.25">
      <c r="A81" s="115" t="s">
        <v>23</v>
      </c>
      <c r="B81" s="119">
        <v>244</v>
      </c>
      <c r="C81" s="119">
        <v>224</v>
      </c>
      <c r="D81" s="5">
        <f t="shared" si="39"/>
        <v>0</v>
      </c>
      <c r="E81" s="2">
        <f>'гос.задание на 2023-2024 год '!E189</f>
        <v>0</v>
      </c>
      <c r="F81" s="2">
        <f>'гос.задание на 2023-2024 год '!F189</f>
        <v>0</v>
      </c>
      <c r="G81" s="5">
        <f t="shared" si="40"/>
        <v>0</v>
      </c>
      <c r="H81" s="2">
        <f>'гос.задание на 2023-2024 год '!H189</f>
        <v>0</v>
      </c>
      <c r="I81" s="2">
        <f>'гос.задание на 2023-2024 год '!I189</f>
        <v>0</v>
      </c>
    </row>
    <row r="82" spans="1:9" ht="56.25" x14ac:dyDescent="0.25">
      <c r="A82" s="115" t="s">
        <v>24</v>
      </c>
      <c r="B82" s="119" t="s">
        <v>5</v>
      </c>
      <c r="C82" s="119">
        <v>225</v>
      </c>
      <c r="D82" s="2">
        <f t="shared" ref="D82" si="47">D83+D84</f>
        <v>27992701.129999999</v>
      </c>
      <c r="E82" s="2">
        <f>E83+E84</f>
        <v>27992701.129999999</v>
      </c>
      <c r="F82" s="2">
        <f t="shared" ref="F82:G82" si="48">F83+F84</f>
        <v>0</v>
      </c>
      <c r="G82" s="2">
        <f t="shared" si="48"/>
        <v>27992701.129999999</v>
      </c>
      <c r="H82" s="2">
        <f>H83+H84</f>
        <v>27992701.129999999</v>
      </c>
      <c r="I82" s="2">
        <f t="shared" ref="I82" si="49">I83+I84</f>
        <v>0</v>
      </c>
    </row>
    <row r="83" spans="1:9" ht="18.75" x14ac:dyDescent="0.25">
      <c r="A83" s="221" t="s">
        <v>6</v>
      </c>
      <c r="B83" s="119">
        <v>243</v>
      </c>
      <c r="C83" s="119">
        <v>225</v>
      </c>
      <c r="D83" s="5">
        <f t="shared" ref="D83:D94" si="50">E83+F83</f>
        <v>0</v>
      </c>
      <c r="E83" s="2">
        <f>'гос.задание на 2023-2024 год '!E191</f>
        <v>0</v>
      </c>
      <c r="F83" s="2">
        <f>'гос.задание на 2023-2024 год '!F191</f>
        <v>0</v>
      </c>
      <c r="G83" s="5">
        <f t="shared" ref="G83:G94" si="51">H83+I83</f>
        <v>0</v>
      </c>
      <c r="H83" s="2">
        <f>'гос.задание на 2023-2024 год '!H191</f>
        <v>0</v>
      </c>
      <c r="I83" s="2">
        <f>'гос.задание на 2023-2024 год '!I191</f>
        <v>0</v>
      </c>
    </row>
    <row r="84" spans="1:9" ht="18.75" x14ac:dyDescent="0.25">
      <c r="A84" s="221"/>
      <c r="B84" s="119">
        <v>244</v>
      </c>
      <c r="C84" s="119">
        <v>225</v>
      </c>
      <c r="D84" s="5">
        <f t="shared" si="50"/>
        <v>27992701.129999999</v>
      </c>
      <c r="E84" s="2">
        <f>'гос.задание на 2023-2024 год '!E192</f>
        <v>27992701.129999999</v>
      </c>
      <c r="F84" s="2">
        <f>'гос.задание на 2023-2024 год '!F192</f>
        <v>0</v>
      </c>
      <c r="G84" s="5">
        <f t="shared" si="51"/>
        <v>27992701.129999999</v>
      </c>
      <c r="H84" s="2">
        <f>'гос.задание на 2023-2024 год '!H192</f>
        <v>27992701.129999999</v>
      </c>
      <c r="I84" s="2">
        <f>'гос.задание на 2023-2024 год '!I192</f>
        <v>0</v>
      </c>
    </row>
    <row r="85" spans="1:9" ht="37.5" x14ac:dyDescent="0.25">
      <c r="A85" s="115" t="s">
        <v>58</v>
      </c>
      <c r="B85" s="119" t="s">
        <v>5</v>
      </c>
      <c r="C85" s="119">
        <v>226</v>
      </c>
      <c r="D85" s="5">
        <f t="shared" si="50"/>
        <v>9008461.2799999993</v>
      </c>
      <c r="E85" s="2">
        <f>E86+E87</f>
        <v>9008461.2799999993</v>
      </c>
      <c r="F85" s="2">
        <f>F86+F87</f>
        <v>0</v>
      </c>
      <c r="G85" s="5">
        <f t="shared" si="51"/>
        <v>9008461.2799999993</v>
      </c>
      <c r="H85" s="2">
        <f>H86+H87</f>
        <v>9008461.2799999993</v>
      </c>
      <c r="I85" s="2">
        <f>I86+I87</f>
        <v>0</v>
      </c>
    </row>
    <row r="86" spans="1:9" ht="18.75" x14ac:dyDescent="0.25">
      <c r="A86" s="221" t="s">
        <v>6</v>
      </c>
      <c r="B86" s="119">
        <v>243</v>
      </c>
      <c r="C86" s="119">
        <v>226</v>
      </c>
      <c r="D86" s="5">
        <f t="shared" si="50"/>
        <v>0</v>
      </c>
      <c r="E86" s="2">
        <f>'гос.задание на 2023-2024 год '!E194</f>
        <v>0</v>
      </c>
      <c r="F86" s="2">
        <f>'гос.задание на 2023-2024 год '!F194</f>
        <v>0</v>
      </c>
      <c r="G86" s="5">
        <f t="shared" si="51"/>
        <v>0</v>
      </c>
      <c r="H86" s="2">
        <f>'гос.задание на 2023-2024 год '!H194</f>
        <v>0</v>
      </c>
      <c r="I86" s="2">
        <f>'гос.задание на 2023-2024 год '!I194</f>
        <v>0</v>
      </c>
    </row>
    <row r="87" spans="1:9" ht="18.75" x14ac:dyDescent="0.25">
      <c r="A87" s="221"/>
      <c r="B87" s="119">
        <v>244</v>
      </c>
      <c r="C87" s="119">
        <v>226</v>
      </c>
      <c r="D87" s="5">
        <f t="shared" si="50"/>
        <v>9008461.2799999993</v>
      </c>
      <c r="E87" s="2">
        <f>'гос.задание на 2023-2024 год '!E195</f>
        <v>9008461.2799999993</v>
      </c>
      <c r="F87" s="2">
        <f>'гос.задание на 2023-2024 год '!F195</f>
        <v>0</v>
      </c>
      <c r="G87" s="5">
        <f t="shared" si="51"/>
        <v>9008461.2799999993</v>
      </c>
      <c r="H87" s="2">
        <f>'гос.задание на 2023-2024 год '!H195</f>
        <v>9008461.2799999993</v>
      </c>
      <c r="I87" s="2">
        <f>'гос.задание на 2023-2024 год '!I195</f>
        <v>0</v>
      </c>
    </row>
    <row r="88" spans="1:9" ht="18.75" x14ac:dyDescent="0.25">
      <c r="A88" s="115" t="s">
        <v>25</v>
      </c>
      <c r="B88" s="119">
        <v>244</v>
      </c>
      <c r="C88" s="119">
        <v>227</v>
      </c>
      <c r="D88" s="5">
        <f t="shared" si="50"/>
        <v>5067.62</v>
      </c>
      <c r="E88" s="2">
        <f>'гос.задание на 2023-2024 год '!E196</f>
        <v>5067.62</v>
      </c>
      <c r="F88" s="2">
        <f>'гос.задание на 2023-2024 год '!F196</f>
        <v>0</v>
      </c>
      <c r="G88" s="5">
        <f t="shared" si="51"/>
        <v>5067.62</v>
      </c>
      <c r="H88" s="2">
        <f>'гос.задание на 2023-2024 год '!H196</f>
        <v>5067.62</v>
      </c>
      <c r="I88" s="2">
        <f>'гос.задание на 2023-2024 год '!I196</f>
        <v>0</v>
      </c>
    </row>
    <row r="89" spans="1:9" ht="56.25" x14ac:dyDescent="0.25">
      <c r="A89" s="170" t="s">
        <v>345</v>
      </c>
      <c r="B89" s="171">
        <v>244</v>
      </c>
      <c r="C89" s="171">
        <v>228</v>
      </c>
      <c r="D89" s="5">
        <f>E89+F89</f>
        <v>0</v>
      </c>
      <c r="E89" s="2">
        <f>'гос.задание на 2023-2024 год '!E197</f>
        <v>0</v>
      </c>
      <c r="F89" s="2">
        <f>'гос.задание на 2023-2024 год '!F197</f>
        <v>0</v>
      </c>
      <c r="G89" s="5">
        <f t="shared" ref="G89" si="52">H89+I89</f>
        <v>0</v>
      </c>
      <c r="H89" s="2">
        <f>'гос.задание на 2023-2024 год '!H197</f>
        <v>0</v>
      </c>
      <c r="I89" s="2">
        <f>'гос.задание на 2023-2024 год '!I197</f>
        <v>0</v>
      </c>
    </row>
    <row r="90" spans="1:9" ht="18.75" x14ac:dyDescent="0.25">
      <c r="A90" s="115" t="s">
        <v>30</v>
      </c>
      <c r="B90" s="119" t="s">
        <v>5</v>
      </c>
      <c r="C90" s="119">
        <v>290</v>
      </c>
      <c r="D90" s="5">
        <f t="shared" si="50"/>
        <v>0</v>
      </c>
      <c r="E90" s="2">
        <f>E92+E93</f>
        <v>0</v>
      </c>
      <c r="F90" s="2">
        <f>F92+F93</f>
        <v>0</v>
      </c>
      <c r="G90" s="5">
        <f t="shared" si="51"/>
        <v>0</v>
      </c>
      <c r="H90" s="2">
        <f>H92+H93</f>
        <v>0</v>
      </c>
      <c r="I90" s="2">
        <f>I92+I93</f>
        <v>0</v>
      </c>
    </row>
    <row r="91" spans="1:9" ht="18.75" x14ac:dyDescent="0.25">
      <c r="A91" s="115" t="s">
        <v>9</v>
      </c>
      <c r="B91" s="119"/>
      <c r="C91" s="119"/>
      <c r="D91" s="5">
        <f t="shared" si="50"/>
        <v>0</v>
      </c>
      <c r="E91" s="2"/>
      <c r="F91" s="2"/>
      <c r="G91" s="5">
        <f t="shared" si="51"/>
        <v>0</v>
      </c>
      <c r="H91" s="2"/>
      <c r="I91" s="2"/>
    </row>
    <row r="92" spans="1:9" ht="56.25" x14ac:dyDescent="0.25">
      <c r="A92" s="115" t="s">
        <v>34</v>
      </c>
      <c r="B92" s="119">
        <v>244</v>
      </c>
      <c r="C92" s="119">
        <v>296</v>
      </c>
      <c r="D92" s="5">
        <f t="shared" si="50"/>
        <v>0</v>
      </c>
      <c r="E92" s="2">
        <f>'гос.задание на 2023-2024 год '!E200</f>
        <v>0</v>
      </c>
      <c r="F92" s="2">
        <f>'гос.задание на 2023-2024 год '!F200</f>
        <v>0</v>
      </c>
      <c r="G92" s="5">
        <f t="shared" si="51"/>
        <v>0</v>
      </c>
      <c r="H92" s="2">
        <f>'гос.задание на 2023-2024 год '!H200</f>
        <v>0</v>
      </c>
      <c r="I92" s="2">
        <f>'гос.задание на 2023-2024 год '!I200</f>
        <v>0</v>
      </c>
    </row>
    <row r="93" spans="1:9" ht="56.25" x14ac:dyDescent="0.25">
      <c r="A93" s="115" t="s">
        <v>35</v>
      </c>
      <c r="B93" s="119">
        <v>244</v>
      </c>
      <c r="C93" s="119">
        <v>297</v>
      </c>
      <c r="D93" s="5">
        <f t="shared" si="50"/>
        <v>0</v>
      </c>
      <c r="E93" s="2">
        <f>'гос.задание на 2023-2024 год '!E201</f>
        <v>0</v>
      </c>
      <c r="F93" s="2">
        <f>'гос.задание на 2023-2024 год '!F201</f>
        <v>0</v>
      </c>
      <c r="G93" s="5">
        <f t="shared" si="51"/>
        <v>0</v>
      </c>
      <c r="H93" s="2">
        <f>'гос.задание на 2023-2024 год '!H201</f>
        <v>0</v>
      </c>
      <c r="I93" s="2">
        <f>'гос.задание на 2023-2024 год '!I201</f>
        <v>0</v>
      </c>
    </row>
    <row r="94" spans="1:9" ht="56.25" x14ac:dyDescent="0.25">
      <c r="A94" s="115" t="s">
        <v>59</v>
      </c>
      <c r="B94" s="119" t="s">
        <v>5</v>
      </c>
      <c r="C94" s="119">
        <v>300</v>
      </c>
      <c r="D94" s="5">
        <f t="shared" si="50"/>
        <v>9401903.6199999992</v>
      </c>
      <c r="E94" s="2">
        <f>E96+E98+E97</f>
        <v>9401903.6199999992</v>
      </c>
      <c r="F94" s="2">
        <f>F96+F98+F97</f>
        <v>0</v>
      </c>
      <c r="G94" s="5">
        <f t="shared" si="51"/>
        <v>9401903.6199999992</v>
      </c>
      <c r="H94" s="2">
        <f>H96+H98+H97</f>
        <v>9401903.6199999992</v>
      </c>
      <c r="I94" s="2">
        <f>I96+I98+I97</f>
        <v>0</v>
      </c>
    </row>
    <row r="95" spans="1:9" ht="18.75" x14ac:dyDescent="0.25">
      <c r="A95" s="115" t="s">
        <v>9</v>
      </c>
      <c r="B95" s="119"/>
      <c r="C95" s="119"/>
      <c r="D95" s="5"/>
      <c r="E95" s="2"/>
      <c r="F95" s="2"/>
      <c r="G95" s="5"/>
      <c r="H95" s="2"/>
      <c r="I95" s="2"/>
    </row>
    <row r="96" spans="1:9" ht="56.25" x14ac:dyDescent="0.25">
      <c r="A96" s="115" t="s">
        <v>36</v>
      </c>
      <c r="B96" s="119">
        <v>244</v>
      </c>
      <c r="C96" s="119">
        <v>310</v>
      </c>
      <c r="D96" s="5">
        <f t="shared" ref="D96:D98" si="53">E96+F96</f>
        <v>0</v>
      </c>
      <c r="E96" s="2">
        <f>'гос.задание на 2023-2024 год '!E204</f>
        <v>0</v>
      </c>
      <c r="F96" s="2">
        <f>'гос.задание на 2023-2024 год '!F204</f>
        <v>0</v>
      </c>
      <c r="G96" s="5">
        <f t="shared" ref="G96:G98" si="54">H96+I96</f>
        <v>0</v>
      </c>
      <c r="H96" s="2">
        <f>'гос.задание на 2023-2024 год '!H204</f>
        <v>0</v>
      </c>
      <c r="I96" s="2">
        <f>'гос.задание на 2023-2024 год '!I204</f>
        <v>0</v>
      </c>
    </row>
    <row r="97" spans="1:9" ht="75" x14ac:dyDescent="0.25">
      <c r="A97" s="115" t="s">
        <v>68</v>
      </c>
      <c r="B97" s="119">
        <v>244</v>
      </c>
      <c r="C97" s="119">
        <v>320</v>
      </c>
      <c r="D97" s="5">
        <f t="shared" si="53"/>
        <v>0</v>
      </c>
      <c r="E97" s="2">
        <f>'гос.задание на 2023-2024 год '!E205</f>
        <v>0</v>
      </c>
      <c r="F97" s="2">
        <f>'гос.задание на 2023-2024 год '!F205</f>
        <v>0</v>
      </c>
      <c r="G97" s="5">
        <f t="shared" si="54"/>
        <v>0</v>
      </c>
      <c r="H97" s="2">
        <f>'гос.задание на 2023-2024 год '!H205</f>
        <v>0</v>
      </c>
      <c r="I97" s="2">
        <f>'гос.задание на 2023-2024 год '!I205</f>
        <v>0</v>
      </c>
    </row>
    <row r="98" spans="1:9" ht="75" x14ac:dyDescent="0.25">
      <c r="A98" s="115" t="s">
        <v>60</v>
      </c>
      <c r="B98" s="119" t="s">
        <v>5</v>
      </c>
      <c r="C98" s="119">
        <v>340</v>
      </c>
      <c r="D98" s="5">
        <f t="shared" si="53"/>
        <v>9401903.6199999992</v>
      </c>
      <c r="E98" s="2">
        <f>E100+E101+E102+E103+E104+E105+E107</f>
        <v>9401903.6199999992</v>
      </c>
      <c r="F98" s="2">
        <f>F100+F101+F102+F103+F104+F105+F107</f>
        <v>0</v>
      </c>
      <c r="G98" s="5">
        <f t="shared" si="54"/>
        <v>9401903.6199999992</v>
      </c>
      <c r="H98" s="2">
        <f>H100+H101+H102+H103+H104+H105+H107</f>
        <v>9401903.6199999992</v>
      </c>
      <c r="I98" s="2">
        <f>I100+I101+I102+I103+I104+I105+I107</f>
        <v>0</v>
      </c>
    </row>
    <row r="99" spans="1:9" ht="18.75" x14ac:dyDescent="0.25">
      <c r="A99" s="115" t="s">
        <v>6</v>
      </c>
      <c r="B99" s="119"/>
      <c r="C99" s="119"/>
      <c r="D99" s="5"/>
      <c r="E99" s="2"/>
      <c r="F99" s="2"/>
      <c r="G99" s="5"/>
      <c r="H99" s="2"/>
      <c r="I99" s="2"/>
    </row>
    <row r="100" spans="1:9" ht="154.9" customHeight="1" x14ac:dyDescent="0.25">
      <c r="A100" s="115" t="s">
        <v>37</v>
      </c>
      <c r="B100" s="119">
        <v>244</v>
      </c>
      <c r="C100" s="119">
        <v>341</v>
      </c>
      <c r="D100" s="5">
        <f t="shared" ref="D100:D107" si="55">E100+F100</f>
        <v>0</v>
      </c>
      <c r="E100" s="2">
        <f>'гос.задание на 2023-2024 год '!E208</f>
        <v>0</v>
      </c>
      <c r="F100" s="2">
        <f>'гос.задание на 2023-2024 год '!F208</f>
        <v>0</v>
      </c>
      <c r="G100" s="5">
        <f t="shared" ref="G100:G107" si="56">H100+I100</f>
        <v>0</v>
      </c>
      <c r="H100" s="2">
        <f>'гос.задание на 2023-2024 год '!H208</f>
        <v>0</v>
      </c>
      <c r="I100" s="2">
        <f>'гос.задание на 2023-2024 год '!I208</f>
        <v>0</v>
      </c>
    </row>
    <row r="101" spans="1:9" ht="56.25" x14ac:dyDescent="0.25">
      <c r="A101" s="115" t="s">
        <v>38</v>
      </c>
      <c r="B101" s="119">
        <v>244</v>
      </c>
      <c r="C101" s="119">
        <v>342</v>
      </c>
      <c r="D101" s="5">
        <f t="shared" si="55"/>
        <v>0</v>
      </c>
      <c r="E101" s="2">
        <f>'гос.задание на 2023-2024 год '!E209</f>
        <v>0</v>
      </c>
      <c r="F101" s="2">
        <f>'гос.задание на 2023-2024 год '!F209</f>
        <v>0</v>
      </c>
      <c r="G101" s="5">
        <f t="shared" si="56"/>
        <v>0</v>
      </c>
      <c r="H101" s="2">
        <f>'гос.задание на 2023-2024 год '!H209</f>
        <v>0</v>
      </c>
      <c r="I101" s="2">
        <f>'гос.задание на 2023-2024 год '!I209</f>
        <v>0</v>
      </c>
    </row>
    <row r="102" spans="1:9" ht="75" x14ac:dyDescent="0.25">
      <c r="A102" s="115" t="s">
        <v>39</v>
      </c>
      <c r="B102" s="119">
        <v>244</v>
      </c>
      <c r="C102" s="119">
        <v>343</v>
      </c>
      <c r="D102" s="5">
        <f t="shared" si="55"/>
        <v>290000</v>
      </c>
      <c r="E102" s="2">
        <f>'гос.задание на 2023-2024 год '!E210</f>
        <v>290000</v>
      </c>
      <c r="F102" s="2">
        <f>'гос.задание на 2023-2024 год '!F210</f>
        <v>0</v>
      </c>
      <c r="G102" s="5">
        <f t="shared" si="56"/>
        <v>290000</v>
      </c>
      <c r="H102" s="2">
        <f>'гос.задание на 2023-2024 год '!H210</f>
        <v>290000</v>
      </c>
      <c r="I102" s="2">
        <f>'гос.задание на 2023-2024 год '!I210</f>
        <v>0</v>
      </c>
    </row>
    <row r="103" spans="1:9" ht="90.6" customHeight="1" x14ac:dyDescent="0.25">
      <c r="A103" s="115" t="s">
        <v>40</v>
      </c>
      <c r="B103" s="119">
        <v>244</v>
      </c>
      <c r="C103" s="119">
        <v>344</v>
      </c>
      <c r="D103" s="5">
        <f t="shared" si="55"/>
        <v>200000</v>
      </c>
      <c r="E103" s="2">
        <f>'гос.задание на 2023-2024 год '!E211</f>
        <v>200000</v>
      </c>
      <c r="F103" s="2">
        <f>'гос.задание на 2023-2024 год '!F211</f>
        <v>0</v>
      </c>
      <c r="G103" s="5">
        <f t="shared" si="56"/>
        <v>200000</v>
      </c>
      <c r="H103" s="2">
        <f>'гос.задание на 2023-2024 год '!H211</f>
        <v>200000</v>
      </c>
      <c r="I103" s="2">
        <f>'гос.задание на 2023-2024 год '!I211</f>
        <v>0</v>
      </c>
    </row>
    <row r="104" spans="1:9" ht="71.45" customHeight="1" x14ac:dyDescent="0.25">
      <c r="A104" s="115" t="s">
        <v>41</v>
      </c>
      <c r="B104" s="119">
        <v>244</v>
      </c>
      <c r="C104" s="119">
        <v>345</v>
      </c>
      <c r="D104" s="5">
        <f t="shared" si="55"/>
        <v>334245</v>
      </c>
      <c r="E104" s="2">
        <f>'гос.задание на 2023-2024 год '!E212</f>
        <v>334245</v>
      </c>
      <c r="F104" s="2">
        <f>'гос.задание на 2023-2024 год '!F212</f>
        <v>0</v>
      </c>
      <c r="G104" s="5">
        <f t="shared" si="56"/>
        <v>334245</v>
      </c>
      <c r="H104" s="2">
        <f>'гос.задание на 2023-2024 год '!H212</f>
        <v>334245</v>
      </c>
      <c r="I104" s="2">
        <f>'гос.задание на 2023-2024 год '!I212</f>
        <v>0</v>
      </c>
    </row>
    <row r="105" spans="1:9" ht="75" x14ac:dyDescent="0.25">
      <c r="A105" s="115" t="s">
        <v>42</v>
      </c>
      <c r="B105" s="119">
        <v>244</v>
      </c>
      <c r="C105" s="119">
        <v>346</v>
      </c>
      <c r="D105" s="5">
        <f t="shared" si="55"/>
        <v>8428958.6199999992</v>
      </c>
      <c r="E105" s="2">
        <f>'гос.задание на 2023-2024 год '!E213</f>
        <v>8428958.6199999992</v>
      </c>
      <c r="F105" s="2">
        <f>'гос.задание на 2023-2024 год '!F213</f>
        <v>0</v>
      </c>
      <c r="G105" s="5">
        <f t="shared" si="56"/>
        <v>8428958.6199999992</v>
      </c>
      <c r="H105" s="2">
        <f>'гос.задание на 2023-2024 год '!H213</f>
        <v>8428958.6199999992</v>
      </c>
      <c r="I105" s="2">
        <f>'гос.задание на 2023-2024 год '!I213</f>
        <v>0</v>
      </c>
    </row>
    <row r="106" spans="1:9" ht="112.5" x14ac:dyDescent="0.25">
      <c r="A106" s="173" t="s">
        <v>346</v>
      </c>
      <c r="B106" s="172">
        <v>244</v>
      </c>
      <c r="C106" s="172">
        <v>347</v>
      </c>
      <c r="D106" s="5">
        <f t="shared" ref="D106" si="57">E106+F106</f>
        <v>0</v>
      </c>
      <c r="E106" s="2">
        <f>'гос.задание на 2023-2024 год '!E214</f>
        <v>0</v>
      </c>
      <c r="F106" s="2">
        <f>'гос.задание на 2023-2024 год '!F214</f>
        <v>0</v>
      </c>
      <c r="G106" s="5">
        <f t="shared" ref="G106" si="58">H106+I106</f>
        <v>0</v>
      </c>
      <c r="H106" s="2">
        <f>'гос.задание на 2023-2024 год '!H214</f>
        <v>0</v>
      </c>
      <c r="I106" s="2">
        <f>'гос.задание на 2023-2024 год '!I214</f>
        <v>0</v>
      </c>
    </row>
    <row r="107" spans="1:9" ht="113.25" thickBot="1" x14ac:dyDescent="0.3">
      <c r="A107" s="32" t="s">
        <v>43</v>
      </c>
      <c r="B107" s="33">
        <v>244</v>
      </c>
      <c r="C107" s="33">
        <v>349</v>
      </c>
      <c r="D107" s="34">
        <f t="shared" si="55"/>
        <v>148700</v>
      </c>
      <c r="E107" s="2">
        <f>'гос.задание на 2023-2024 год '!E215</f>
        <v>148700</v>
      </c>
      <c r="F107" s="2">
        <f>'гос.задание на 2023-2024 год '!F215</f>
        <v>0</v>
      </c>
      <c r="G107" s="34">
        <f t="shared" si="56"/>
        <v>148700</v>
      </c>
      <c r="H107" s="2">
        <f>'гос.задание на 2023-2024 год '!H215</f>
        <v>148700</v>
      </c>
      <c r="I107" s="2">
        <f>'гос.задание на 2023-2024 год '!I215</f>
        <v>0</v>
      </c>
    </row>
    <row r="110" spans="1:9" ht="37.5" x14ac:dyDescent="0.3">
      <c r="A110" s="29" t="s">
        <v>52</v>
      </c>
      <c r="B110" s="224"/>
      <c r="C110" s="224"/>
      <c r="D110" s="10"/>
      <c r="E110" s="224" t="s">
        <v>499</v>
      </c>
      <c r="F110" s="224"/>
    </row>
    <row r="111" spans="1:9" ht="18.75" x14ac:dyDescent="0.3">
      <c r="A111" s="29"/>
      <c r="B111" s="223" t="s">
        <v>53</v>
      </c>
      <c r="C111" s="223"/>
      <c r="D111" s="10"/>
      <c r="E111" s="223" t="s">
        <v>54</v>
      </c>
      <c r="F111" s="223"/>
    </row>
    <row r="112" spans="1:9" ht="18.75" x14ac:dyDescent="0.3">
      <c r="A112" s="29"/>
      <c r="B112" s="10"/>
      <c r="C112" s="10"/>
      <c r="D112" s="10"/>
      <c r="E112" s="10"/>
      <c r="F112" s="10"/>
    </row>
    <row r="113" spans="1:6" ht="37.5" x14ac:dyDescent="0.3">
      <c r="A113" s="29" t="s">
        <v>55</v>
      </c>
      <c r="B113" s="224"/>
      <c r="C113" s="224"/>
      <c r="D113" s="10"/>
      <c r="E113" s="224" t="s">
        <v>500</v>
      </c>
      <c r="F113" s="224"/>
    </row>
    <row r="114" spans="1:6" ht="18.75" x14ac:dyDescent="0.3">
      <c r="A114" s="29"/>
      <c r="B114" s="223" t="s">
        <v>53</v>
      </c>
      <c r="C114" s="223"/>
      <c r="D114" s="10"/>
      <c r="E114" s="223" t="s">
        <v>54</v>
      </c>
      <c r="F114" s="223"/>
    </row>
    <row r="115" spans="1:6" ht="18.75" x14ac:dyDescent="0.3">
      <c r="A115" s="29"/>
      <c r="B115" s="84"/>
      <c r="C115" s="84"/>
      <c r="D115" s="10"/>
      <c r="E115" s="84"/>
      <c r="F115" s="84"/>
    </row>
    <row r="116" spans="1:6" ht="18.75" x14ac:dyDescent="0.3">
      <c r="A116" s="29" t="s">
        <v>56</v>
      </c>
      <c r="B116" s="224"/>
      <c r="C116" s="224"/>
      <c r="D116" s="10"/>
      <c r="E116" s="224" t="s">
        <v>500</v>
      </c>
      <c r="F116" s="224"/>
    </row>
    <row r="117" spans="1:6" ht="18.75" x14ac:dyDescent="0.3">
      <c r="A117" s="29"/>
      <c r="B117" s="223" t="s">
        <v>53</v>
      </c>
      <c r="C117" s="223"/>
      <c r="D117" s="10"/>
      <c r="E117" s="223" t="s">
        <v>54</v>
      </c>
      <c r="F117" s="223"/>
    </row>
    <row r="118" spans="1:6" ht="18.75" x14ac:dyDescent="0.3">
      <c r="A118" s="29" t="s">
        <v>57</v>
      </c>
      <c r="B118" s="10"/>
      <c r="C118" s="10"/>
      <c r="D118" s="10"/>
      <c r="E118" s="10"/>
      <c r="F118" s="10"/>
    </row>
    <row r="119" spans="1:6" ht="18.75" x14ac:dyDescent="0.3">
      <c r="A119" s="222" t="s">
        <v>44</v>
      </c>
      <c r="B119" s="222"/>
      <c r="C119" s="10"/>
      <c r="D119" s="10"/>
      <c r="E119" s="10"/>
      <c r="F119" s="10"/>
    </row>
  </sheetData>
  <mergeCells count="30">
    <mergeCell ref="A119:B119"/>
    <mergeCell ref="A1:I1"/>
    <mergeCell ref="A2:I2"/>
    <mergeCell ref="B114:C114"/>
    <mergeCell ref="E114:F114"/>
    <mergeCell ref="B116:C116"/>
    <mergeCell ref="E116:F116"/>
    <mergeCell ref="B117:C117"/>
    <mergeCell ref="E117:F117"/>
    <mergeCell ref="B110:C110"/>
    <mergeCell ref="E110:F110"/>
    <mergeCell ref="B111:C111"/>
    <mergeCell ref="E111:F111"/>
    <mergeCell ref="B113:C113"/>
    <mergeCell ref="E113:F113"/>
    <mergeCell ref="H5:I5"/>
    <mergeCell ref="A83:A84"/>
    <mergeCell ref="A86:A87"/>
    <mergeCell ref="A60:I60"/>
    <mergeCell ref="A5:A7"/>
    <mergeCell ref="B5:B7"/>
    <mergeCell ref="C5:C7"/>
    <mergeCell ref="D5:D7"/>
    <mergeCell ref="E5:F5"/>
    <mergeCell ref="E6:F6"/>
    <mergeCell ref="H6:I6"/>
    <mergeCell ref="A12:I12"/>
    <mergeCell ref="G5:G7"/>
    <mergeCell ref="A35:A36"/>
    <mergeCell ref="A38:A39"/>
  </mergeCells>
  <pageMargins left="1.3779527559055118" right="0.39370078740157483" top="0.98425196850393704" bottom="0.78740157480314965" header="0.31496062992125984" footer="0.31496062992125984"/>
  <pageSetup paperSize="9" scale="65" firstPageNumber="12" orientation="landscape" useFirstPageNumber="1" r:id="rId1"/>
  <rowBreaks count="4" manualBreakCount="4">
    <brk id="44" max="16383" man="1"/>
    <brk id="52" max="16383" man="1"/>
    <brk id="59" max="16383" man="1"/>
    <brk id="102" max="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25"/>
  <sheetViews>
    <sheetView view="pageBreakPreview" topLeftCell="A301" zoomScaleNormal="85" zoomScaleSheetLayoutView="100" workbookViewId="0">
      <selection activeCell="F317" sqref="F317:G317"/>
    </sheetView>
  </sheetViews>
  <sheetFormatPr defaultColWidth="8.85546875" defaultRowHeight="15" x14ac:dyDescent="0.25"/>
  <cols>
    <col min="1" max="1" width="39.42578125" style="7" customWidth="1"/>
    <col min="2" max="2" width="12.85546875" style="7" customWidth="1"/>
    <col min="3" max="6" width="16.42578125" style="7" customWidth="1"/>
    <col min="7" max="7" width="16.28515625" style="7" customWidth="1"/>
    <col min="8" max="8" width="17.28515625" style="7" customWidth="1"/>
    <col min="9" max="10" width="13.7109375" style="7" customWidth="1"/>
    <col min="11" max="11" width="11.5703125" style="7" bestFit="1" customWidth="1"/>
    <col min="12" max="16384" width="8.85546875" style="7"/>
  </cols>
  <sheetData>
    <row r="1" spans="1:11" ht="18.75" x14ac:dyDescent="0.25">
      <c r="A1" s="6"/>
      <c r="E1" s="319"/>
      <c r="F1" s="319"/>
      <c r="G1" s="319"/>
    </row>
    <row r="2" spans="1:11" ht="40.15" customHeight="1" x14ac:dyDescent="0.25">
      <c r="A2" s="289" t="s">
        <v>472</v>
      </c>
      <c r="B2" s="289"/>
      <c r="C2" s="289"/>
      <c r="D2" s="289"/>
      <c r="E2" s="289"/>
      <c r="F2" s="289"/>
      <c r="G2" s="289"/>
    </row>
    <row r="3" spans="1:11" ht="18.75" x14ac:dyDescent="0.25">
      <c r="A3" s="108"/>
      <c r="B3" s="108"/>
      <c r="C3" s="108"/>
      <c r="D3" s="108"/>
      <c r="E3" s="108"/>
      <c r="F3" s="108"/>
      <c r="G3" s="108"/>
    </row>
    <row r="4" spans="1:11" ht="35.450000000000003" customHeight="1" x14ac:dyDescent="0.25">
      <c r="A4" s="289" t="s">
        <v>397</v>
      </c>
      <c r="B4" s="289"/>
      <c r="C4" s="289"/>
      <c r="D4" s="289"/>
      <c r="E4" s="289"/>
      <c r="F4" s="289"/>
      <c r="G4" s="289"/>
    </row>
    <row r="5" spans="1:11" ht="43.9" customHeight="1" x14ac:dyDescent="0.25">
      <c r="A5" s="289" t="s">
        <v>174</v>
      </c>
      <c r="B5" s="289"/>
      <c r="C5" s="289"/>
      <c r="D5" s="289"/>
      <c r="E5" s="289"/>
      <c r="F5" s="289"/>
      <c r="G5" s="289"/>
    </row>
    <row r="6" spans="1:11" ht="18.75" x14ac:dyDescent="0.25">
      <c r="A6" s="108"/>
      <c r="B6" s="108"/>
      <c r="C6" s="108"/>
      <c r="D6" s="108"/>
      <c r="E6" s="108"/>
      <c r="F6" s="108"/>
      <c r="G6" s="108"/>
    </row>
    <row r="7" spans="1:11" ht="18.75" x14ac:dyDescent="0.3">
      <c r="A7" s="9" t="s">
        <v>255</v>
      </c>
      <c r="B7" s="10">
        <v>130</v>
      </c>
    </row>
    <row r="8" spans="1:11" x14ac:dyDescent="0.25">
      <c r="A8" s="11"/>
    </row>
    <row r="9" spans="1:11" ht="55.9" customHeight="1" x14ac:dyDescent="0.3">
      <c r="A9" s="106" t="s">
        <v>86</v>
      </c>
      <c r="B9" s="275" t="s">
        <v>172</v>
      </c>
      <c r="C9" s="275"/>
      <c r="D9" s="275" t="s">
        <v>173</v>
      </c>
      <c r="E9" s="275"/>
      <c r="F9" s="275" t="s">
        <v>171</v>
      </c>
      <c r="G9" s="275"/>
      <c r="K9" s="81"/>
    </row>
    <row r="10" spans="1:11" ht="18.75" x14ac:dyDescent="0.25">
      <c r="A10" s="106">
        <v>1</v>
      </c>
      <c r="B10" s="275">
        <v>2</v>
      </c>
      <c r="C10" s="275"/>
      <c r="D10" s="275">
        <v>3</v>
      </c>
      <c r="E10" s="275"/>
      <c r="F10" s="275">
        <v>4</v>
      </c>
      <c r="G10" s="275"/>
    </row>
    <row r="11" spans="1:11" ht="56.25" x14ac:dyDescent="0.25">
      <c r="A11" s="13" t="s">
        <v>170</v>
      </c>
      <c r="B11" s="275" t="s">
        <v>117</v>
      </c>
      <c r="C11" s="275"/>
      <c r="D11" s="275" t="s">
        <v>117</v>
      </c>
      <c r="E11" s="275"/>
      <c r="F11" s="281">
        <f>'гос.задание на 2023-2024 год '!E12</f>
        <v>164609021.74000001</v>
      </c>
      <c r="G11" s="281"/>
      <c r="H11" s="50"/>
      <c r="I11" s="50"/>
      <c r="J11" s="50"/>
      <c r="K11" s="50"/>
    </row>
    <row r="12" spans="1:11" ht="18.75" x14ac:dyDescent="0.25">
      <c r="A12" s="105"/>
    </row>
    <row r="13" spans="1:11" ht="48.6" customHeight="1" x14ac:dyDescent="0.25">
      <c r="A13" s="289" t="s">
        <v>398</v>
      </c>
      <c r="B13" s="289"/>
      <c r="C13" s="289"/>
      <c r="D13" s="289"/>
      <c r="E13" s="289"/>
      <c r="F13" s="289"/>
      <c r="G13" s="289"/>
    </row>
    <row r="14" spans="1:11" ht="18.75" x14ac:dyDescent="0.25">
      <c r="A14" s="8"/>
    </row>
    <row r="15" spans="1:11" ht="18.75" x14ac:dyDescent="0.25">
      <c r="A15" s="274" t="s">
        <v>189</v>
      </c>
      <c r="B15" s="274"/>
      <c r="C15" s="274"/>
      <c r="D15" s="274"/>
      <c r="E15" s="274"/>
      <c r="F15" s="274"/>
      <c r="G15" s="274"/>
    </row>
    <row r="16" spans="1:11" ht="18.75" x14ac:dyDescent="0.25">
      <c r="A16" s="9"/>
    </row>
    <row r="17" spans="1:7" ht="18.75" x14ac:dyDescent="0.3">
      <c r="A17" s="9" t="s">
        <v>145</v>
      </c>
      <c r="B17" s="10">
        <v>111</v>
      </c>
    </row>
    <row r="18" spans="1:7" x14ac:dyDescent="0.25">
      <c r="A18" s="11"/>
    </row>
    <row r="19" spans="1:7" ht="18.75" customHeight="1" x14ac:dyDescent="0.25">
      <c r="A19" s="275" t="s">
        <v>76</v>
      </c>
      <c r="B19" s="275" t="s">
        <v>77</v>
      </c>
      <c r="C19" s="275" t="s">
        <v>78</v>
      </c>
      <c r="D19" s="275"/>
      <c r="E19" s="275"/>
      <c r="F19" s="275"/>
      <c r="G19" s="275" t="s">
        <v>79</v>
      </c>
    </row>
    <row r="20" spans="1:7" ht="18.75" x14ac:dyDescent="0.25">
      <c r="A20" s="275"/>
      <c r="B20" s="275"/>
      <c r="C20" s="275" t="s">
        <v>80</v>
      </c>
      <c r="D20" s="275" t="s">
        <v>6</v>
      </c>
      <c r="E20" s="275"/>
      <c r="F20" s="275"/>
      <c r="G20" s="275"/>
    </row>
    <row r="21" spans="1:7" ht="75" x14ac:dyDescent="0.25">
      <c r="A21" s="275"/>
      <c r="B21" s="275"/>
      <c r="C21" s="275"/>
      <c r="D21" s="12" t="s">
        <v>81</v>
      </c>
      <c r="E21" s="12" t="s">
        <v>82</v>
      </c>
      <c r="F21" s="12" t="s">
        <v>83</v>
      </c>
      <c r="G21" s="275"/>
    </row>
    <row r="22" spans="1:7" ht="18.75" x14ac:dyDescent="0.25">
      <c r="A22" s="206">
        <v>1</v>
      </c>
      <c r="B22" s="206">
        <v>2</v>
      </c>
      <c r="C22" s="206">
        <v>3</v>
      </c>
      <c r="D22" s="206">
        <v>4</v>
      </c>
      <c r="E22" s="206">
        <v>4</v>
      </c>
      <c r="F22" s="206">
        <v>5</v>
      </c>
      <c r="G22" s="206">
        <v>7</v>
      </c>
    </row>
    <row r="23" spans="1:7" ht="15.75" x14ac:dyDescent="0.25">
      <c r="A23" s="128" t="s">
        <v>306</v>
      </c>
      <c r="B23" s="129">
        <v>1</v>
      </c>
      <c r="C23" s="130">
        <f t="shared" ref="C23:C36" si="0">D23+E23+F23</f>
        <v>55808</v>
      </c>
      <c r="D23" s="130">
        <v>17440</v>
      </c>
      <c r="E23" s="131"/>
      <c r="F23" s="132">
        <f>D23*220%</f>
        <v>38368</v>
      </c>
      <c r="G23" s="133">
        <f>C23*B23*12</f>
        <v>669696</v>
      </c>
    </row>
    <row r="24" spans="1:7" ht="31.5" x14ac:dyDescent="0.25">
      <c r="A24" s="134" t="s">
        <v>307</v>
      </c>
      <c r="B24" s="135">
        <v>1</v>
      </c>
      <c r="C24" s="130">
        <f t="shared" si="0"/>
        <v>45518.399999999994</v>
      </c>
      <c r="D24" s="136">
        <v>15696</v>
      </c>
      <c r="E24" s="131"/>
      <c r="F24" s="132">
        <f>D24*190%</f>
        <v>29822.399999999998</v>
      </c>
      <c r="G24" s="133">
        <f t="shared" ref="G24:G65" si="1">C24*B24*12</f>
        <v>546220.79999999993</v>
      </c>
    </row>
    <row r="25" spans="1:7" ht="63" x14ac:dyDescent="0.25">
      <c r="A25" s="137" t="s">
        <v>308</v>
      </c>
      <c r="B25" s="135">
        <v>1</v>
      </c>
      <c r="C25" s="130">
        <f t="shared" si="0"/>
        <v>45518.399999999994</v>
      </c>
      <c r="D25" s="136">
        <v>15696</v>
      </c>
      <c r="E25" s="131"/>
      <c r="F25" s="132">
        <f>D25*190%</f>
        <v>29822.399999999998</v>
      </c>
      <c r="G25" s="133">
        <f t="shared" si="1"/>
        <v>546220.79999999993</v>
      </c>
    </row>
    <row r="26" spans="1:7" ht="45.75" customHeight="1" x14ac:dyDescent="0.25">
      <c r="A26" s="134" t="s">
        <v>439</v>
      </c>
      <c r="B26" s="135">
        <v>1</v>
      </c>
      <c r="C26" s="130">
        <f t="shared" si="0"/>
        <v>47088</v>
      </c>
      <c r="D26" s="136">
        <v>15696</v>
      </c>
      <c r="E26" s="131"/>
      <c r="F26" s="132">
        <f>D26*200%</f>
        <v>31392</v>
      </c>
      <c r="G26" s="133">
        <f t="shared" si="1"/>
        <v>565056</v>
      </c>
    </row>
    <row r="27" spans="1:7" ht="15" customHeight="1" x14ac:dyDescent="0.25">
      <c r="A27" s="134" t="s">
        <v>338</v>
      </c>
      <c r="B27" s="135">
        <v>1</v>
      </c>
      <c r="C27" s="130">
        <f t="shared" si="0"/>
        <v>41010</v>
      </c>
      <c r="D27" s="136">
        <v>13670</v>
      </c>
      <c r="E27" s="131"/>
      <c r="F27" s="132">
        <f>D27*200%</f>
        <v>27340</v>
      </c>
      <c r="G27" s="133">
        <f t="shared" si="1"/>
        <v>492120</v>
      </c>
    </row>
    <row r="28" spans="1:7" ht="15.75" x14ac:dyDescent="0.25">
      <c r="A28" s="134" t="s">
        <v>309</v>
      </c>
      <c r="B28" s="135">
        <v>1</v>
      </c>
      <c r="C28" s="130">
        <f t="shared" si="0"/>
        <v>50227.200000000004</v>
      </c>
      <c r="D28" s="136">
        <v>15696</v>
      </c>
      <c r="E28" s="131"/>
      <c r="F28" s="132">
        <f>D28*220%</f>
        <v>34531.200000000004</v>
      </c>
      <c r="G28" s="133">
        <f t="shared" si="1"/>
        <v>602726.40000000002</v>
      </c>
    </row>
    <row r="29" spans="1:7" ht="15.75" x14ac:dyDescent="0.25">
      <c r="A29" s="134" t="s">
        <v>339</v>
      </c>
      <c r="B29" s="135">
        <v>1</v>
      </c>
      <c r="C29" s="130">
        <f>D29+E29+F29</f>
        <v>35420</v>
      </c>
      <c r="D29" s="136">
        <v>11000</v>
      </c>
      <c r="E29" s="131"/>
      <c r="F29" s="132">
        <f>D29*222%</f>
        <v>24420.000000000004</v>
      </c>
      <c r="G29" s="133">
        <f>C29*B29*12</f>
        <v>425040</v>
      </c>
    </row>
    <row r="30" spans="1:7" ht="15.75" x14ac:dyDescent="0.25">
      <c r="A30" s="180" t="s">
        <v>312</v>
      </c>
      <c r="B30" s="181">
        <f>SUM(B23:B29)</f>
        <v>7</v>
      </c>
      <c r="C30" s="182">
        <f>SUM(C23:C29)</f>
        <v>320590</v>
      </c>
      <c r="D30" s="183">
        <f>SUM(D23:D29)</f>
        <v>104894</v>
      </c>
      <c r="E30" s="147"/>
      <c r="F30" s="148">
        <f>SUM(F23:F29)</f>
        <v>215696</v>
      </c>
      <c r="G30" s="184">
        <f>SUM(G23:G29)</f>
        <v>3847079.9999999995</v>
      </c>
    </row>
    <row r="31" spans="1:7" ht="15.75" x14ac:dyDescent="0.25">
      <c r="A31" s="293" t="s">
        <v>359</v>
      </c>
      <c r="B31" s="294"/>
      <c r="C31" s="294"/>
      <c r="D31" s="294"/>
      <c r="E31" s="294"/>
      <c r="F31" s="294"/>
      <c r="G31" s="295"/>
    </row>
    <row r="32" spans="1:7" ht="15.75" x14ac:dyDescent="0.25">
      <c r="A32" s="134" t="s">
        <v>357</v>
      </c>
      <c r="B32" s="135">
        <v>1</v>
      </c>
      <c r="C32" s="130">
        <f t="shared" ref="C32" si="2">D32+E32+F32</f>
        <v>43744</v>
      </c>
      <c r="D32" s="136">
        <v>13670</v>
      </c>
      <c r="E32" s="131"/>
      <c r="F32" s="132">
        <f t="shared" ref="F32:F34" si="3">D32*220%</f>
        <v>30074.000000000004</v>
      </c>
      <c r="G32" s="133">
        <f>C32*B32*12</f>
        <v>524928</v>
      </c>
    </row>
    <row r="33" spans="1:7" ht="15.75" x14ac:dyDescent="0.25">
      <c r="A33" s="134" t="s">
        <v>310</v>
      </c>
      <c r="B33" s="135">
        <v>1</v>
      </c>
      <c r="C33" s="130">
        <f t="shared" si="0"/>
        <v>43744</v>
      </c>
      <c r="D33" s="136">
        <v>13670</v>
      </c>
      <c r="E33" s="131"/>
      <c r="F33" s="132">
        <f t="shared" si="3"/>
        <v>30074.000000000004</v>
      </c>
      <c r="G33" s="133">
        <f t="shared" si="1"/>
        <v>524928</v>
      </c>
    </row>
    <row r="34" spans="1:7" ht="15.75" x14ac:dyDescent="0.25">
      <c r="A34" s="134" t="s">
        <v>340</v>
      </c>
      <c r="B34" s="135">
        <v>1</v>
      </c>
      <c r="C34" s="130">
        <f t="shared" si="0"/>
        <v>43744</v>
      </c>
      <c r="D34" s="136">
        <v>13670</v>
      </c>
      <c r="E34" s="131"/>
      <c r="F34" s="132">
        <f t="shared" si="3"/>
        <v>30074.000000000004</v>
      </c>
      <c r="G34" s="133">
        <f t="shared" si="1"/>
        <v>524928</v>
      </c>
    </row>
    <row r="35" spans="1:7" ht="15.75" x14ac:dyDescent="0.25">
      <c r="A35" s="134" t="s">
        <v>360</v>
      </c>
      <c r="B35" s="135">
        <v>1</v>
      </c>
      <c r="C35" s="130">
        <f t="shared" si="0"/>
        <v>39180</v>
      </c>
      <c r="D35" s="136">
        <v>13060</v>
      </c>
      <c r="E35" s="131"/>
      <c r="F35" s="132">
        <f>D35*200%</f>
        <v>26120</v>
      </c>
      <c r="G35" s="133">
        <f t="shared" si="1"/>
        <v>470160</v>
      </c>
    </row>
    <row r="36" spans="1:7" ht="15.75" x14ac:dyDescent="0.25">
      <c r="A36" s="138" t="s">
        <v>353</v>
      </c>
      <c r="B36" s="139">
        <v>1</v>
      </c>
      <c r="C36" s="130">
        <f t="shared" si="0"/>
        <v>39180</v>
      </c>
      <c r="D36" s="140">
        <v>13060</v>
      </c>
      <c r="E36" s="131"/>
      <c r="F36" s="132">
        <f>D36*200%</f>
        <v>26120</v>
      </c>
      <c r="G36" s="133">
        <f>C36*B36*12</f>
        <v>470160</v>
      </c>
    </row>
    <row r="37" spans="1:7" ht="15.75" customHeight="1" x14ac:dyDescent="0.25">
      <c r="A37" s="141" t="s">
        <v>312</v>
      </c>
      <c r="B37" s="142">
        <f>SUM(B32:B36)</f>
        <v>5</v>
      </c>
      <c r="C37" s="143">
        <f>SUM(C32:C36)</f>
        <v>209592</v>
      </c>
      <c r="D37" s="143">
        <f>SUM(D32:D36)</f>
        <v>67130</v>
      </c>
      <c r="E37" s="143"/>
      <c r="F37" s="144">
        <f>SUM(F32:F36)</f>
        <v>142462</v>
      </c>
      <c r="G37" s="143">
        <f>SUM(G32:G36)</f>
        <v>2515104</v>
      </c>
    </row>
    <row r="38" spans="1:7" ht="15.75" customHeight="1" x14ac:dyDescent="0.25">
      <c r="A38" s="268" t="s">
        <v>313</v>
      </c>
      <c r="B38" s="269"/>
      <c r="C38" s="269"/>
      <c r="D38" s="269"/>
      <c r="E38" s="269"/>
      <c r="F38" s="269"/>
      <c r="G38" s="270"/>
    </row>
    <row r="39" spans="1:7" ht="15.75" x14ac:dyDescent="0.25">
      <c r="A39" s="145" t="s">
        <v>314</v>
      </c>
      <c r="B39" s="135">
        <v>1</v>
      </c>
      <c r="C39" s="136">
        <f>D39+E39+F39</f>
        <v>43744</v>
      </c>
      <c r="D39" s="136">
        <v>13670</v>
      </c>
      <c r="E39" s="131"/>
      <c r="F39" s="132">
        <f t="shared" ref="F39" si="4">D39*220%</f>
        <v>30074.000000000004</v>
      </c>
      <c r="G39" s="133">
        <f t="shared" si="1"/>
        <v>524928</v>
      </c>
    </row>
    <row r="40" spans="1:7" ht="15.75" x14ac:dyDescent="0.25">
      <c r="A40" s="145" t="s">
        <v>354</v>
      </c>
      <c r="B40" s="135">
        <v>1</v>
      </c>
      <c r="C40" s="136">
        <f>D40+E40+F40</f>
        <v>39180</v>
      </c>
      <c r="D40" s="136">
        <v>13060</v>
      </c>
      <c r="E40" s="131"/>
      <c r="F40" s="132">
        <f>D40*200%</f>
        <v>26120</v>
      </c>
      <c r="G40" s="133">
        <f>C40*B40*12</f>
        <v>470160</v>
      </c>
    </row>
    <row r="41" spans="1:7" ht="15.75" x14ac:dyDescent="0.25">
      <c r="A41" s="141" t="s">
        <v>312</v>
      </c>
      <c r="B41" s="142">
        <f>SUM(B39:B40)</f>
        <v>2</v>
      </c>
      <c r="C41" s="146">
        <f>SUM(C39:C40)</f>
        <v>82924</v>
      </c>
      <c r="D41" s="147">
        <f>SUM(D39:D40)</f>
        <v>26730</v>
      </c>
      <c r="E41" s="147">
        <f ca="1">SUM(E39:E45)</f>
        <v>0</v>
      </c>
      <c r="F41" s="148">
        <f>SUM(F39:F40)</f>
        <v>56194</v>
      </c>
      <c r="G41" s="143">
        <f>SUM(G39:G40)</f>
        <v>995088</v>
      </c>
    </row>
    <row r="42" spans="1:7" ht="15.75" x14ac:dyDescent="0.25">
      <c r="A42" s="268" t="s">
        <v>315</v>
      </c>
      <c r="B42" s="269"/>
      <c r="C42" s="269"/>
      <c r="D42" s="269"/>
      <c r="E42" s="269"/>
      <c r="F42" s="269"/>
      <c r="G42" s="270"/>
    </row>
    <row r="43" spans="1:7" ht="15.75" x14ac:dyDescent="0.25">
      <c r="A43" s="145" t="s">
        <v>316</v>
      </c>
      <c r="B43" s="135">
        <v>2</v>
      </c>
      <c r="C43" s="136">
        <f>D43+E43+F43</f>
        <v>28072</v>
      </c>
      <c r="D43" s="136">
        <v>12760</v>
      </c>
      <c r="E43" s="131"/>
      <c r="F43" s="132">
        <f>D43*120%</f>
        <v>15312</v>
      </c>
      <c r="G43" s="133">
        <f t="shared" si="1"/>
        <v>673728</v>
      </c>
    </row>
    <row r="44" spans="1:7" ht="15.75" x14ac:dyDescent="0.25">
      <c r="A44" s="145" t="s">
        <v>317</v>
      </c>
      <c r="B44" s="135">
        <v>7</v>
      </c>
      <c r="C44" s="136">
        <f>D44+E44+F44</f>
        <v>19108</v>
      </c>
      <c r="D44" s="136">
        <v>11240</v>
      </c>
      <c r="E44" s="131"/>
      <c r="F44" s="132">
        <f>D44*70%</f>
        <v>7867.9999999999991</v>
      </c>
      <c r="G44" s="133">
        <f t="shared" si="1"/>
        <v>1605072</v>
      </c>
    </row>
    <row r="45" spans="1:7" ht="15.75" x14ac:dyDescent="0.25">
      <c r="A45" s="145" t="s">
        <v>366</v>
      </c>
      <c r="B45" s="135">
        <v>3</v>
      </c>
      <c r="C45" s="136">
        <f>D45+E45+F45</f>
        <v>21135.5</v>
      </c>
      <c r="D45" s="136">
        <v>10310</v>
      </c>
      <c r="E45" s="131"/>
      <c r="F45" s="132">
        <f>D45*105%</f>
        <v>10825.5</v>
      </c>
      <c r="G45" s="133">
        <f>C45*B45*12</f>
        <v>760878</v>
      </c>
    </row>
    <row r="46" spans="1:7" ht="15.75" customHeight="1" x14ac:dyDescent="0.25">
      <c r="A46" s="141" t="s">
        <v>312</v>
      </c>
      <c r="B46" s="142">
        <f>SUM(B43:B45)</f>
        <v>12</v>
      </c>
      <c r="C46" s="146">
        <f>SUM(C43:C45)</f>
        <v>68315.5</v>
      </c>
      <c r="D46" s="146">
        <f>SUM(D43:D45)</f>
        <v>34310</v>
      </c>
      <c r="E46" s="146">
        <f t="shared" ref="E46" si="5">SUM(E43:E44)</f>
        <v>0</v>
      </c>
      <c r="F46" s="149">
        <f>SUM(F43:F45)</f>
        <v>34005.5</v>
      </c>
      <c r="G46" s="143">
        <f>SUM(G43:G45)</f>
        <v>3039678</v>
      </c>
    </row>
    <row r="47" spans="1:7" ht="30" customHeight="1" x14ac:dyDescent="0.25">
      <c r="A47" s="271" t="s">
        <v>318</v>
      </c>
      <c r="B47" s="272"/>
      <c r="C47" s="272"/>
      <c r="D47" s="272"/>
      <c r="E47" s="272"/>
      <c r="F47" s="272"/>
      <c r="G47" s="273"/>
    </row>
    <row r="48" spans="1:7" ht="47.25" x14ac:dyDescent="0.25">
      <c r="A48" s="145" t="s">
        <v>319</v>
      </c>
      <c r="B48" s="135">
        <v>2</v>
      </c>
      <c r="C48" s="136">
        <f t="shared" ref="C48:C54" si="6">D48+E48+F48</f>
        <v>32064</v>
      </c>
      <c r="D48" s="136">
        <v>13360</v>
      </c>
      <c r="E48" s="131"/>
      <c r="F48" s="132">
        <f>D48*140%</f>
        <v>18704</v>
      </c>
      <c r="G48" s="133">
        <f t="shared" si="1"/>
        <v>769536</v>
      </c>
    </row>
    <row r="49" spans="1:7" ht="15.75" x14ac:dyDescent="0.25">
      <c r="A49" s="145" t="s">
        <v>320</v>
      </c>
      <c r="B49" s="135">
        <v>3</v>
      </c>
      <c r="C49" s="136">
        <f t="shared" si="6"/>
        <v>32064</v>
      </c>
      <c r="D49" s="136">
        <v>13360</v>
      </c>
      <c r="E49" s="131"/>
      <c r="F49" s="132">
        <f>D49*140%</f>
        <v>18704</v>
      </c>
      <c r="G49" s="133">
        <f>C49*B49*12</f>
        <v>1154304</v>
      </c>
    </row>
    <row r="50" spans="1:7" ht="15.75" x14ac:dyDescent="0.25">
      <c r="A50" s="145" t="s">
        <v>321</v>
      </c>
      <c r="B50" s="135">
        <v>2</v>
      </c>
      <c r="C50" s="136">
        <f t="shared" si="6"/>
        <v>34188</v>
      </c>
      <c r="D50" s="136">
        <v>12210</v>
      </c>
      <c r="E50" s="131"/>
      <c r="F50" s="132">
        <f>D50*180%</f>
        <v>21978</v>
      </c>
      <c r="G50" s="133">
        <f t="shared" si="1"/>
        <v>820512</v>
      </c>
    </row>
    <row r="51" spans="1:7" ht="15.75" x14ac:dyDescent="0.25">
      <c r="A51" s="145" t="s">
        <v>322</v>
      </c>
      <c r="B51" s="135">
        <v>7</v>
      </c>
      <c r="C51" s="136">
        <f t="shared" si="6"/>
        <v>33956</v>
      </c>
      <c r="D51" s="136">
        <v>13060</v>
      </c>
      <c r="E51" s="131"/>
      <c r="F51" s="132">
        <f>D51*160%</f>
        <v>20896</v>
      </c>
      <c r="G51" s="133">
        <f>C51*B51*12</f>
        <v>2852304</v>
      </c>
    </row>
    <row r="52" spans="1:7" ht="31.5" x14ac:dyDescent="0.25">
      <c r="A52" s="138" t="s">
        <v>311</v>
      </c>
      <c r="B52" s="139">
        <v>1</v>
      </c>
      <c r="C52" s="130">
        <f t="shared" si="6"/>
        <v>33956</v>
      </c>
      <c r="D52" s="140">
        <v>13060</v>
      </c>
      <c r="E52" s="131"/>
      <c r="F52" s="132">
        <f>D52*160%</f>
        <v>20896</v>
      </c>
      <c r="G52" s="133">
        <f>C52*B52*12</f>
        <v>407472</v>
      </c>
    </row>
    <row r="53" spans="1:7" ht="15.75" customHeight="1" x14ac:dyDescent="0.25">
      <c r="A53" s="162" t="s">
        <v>363</v>
      </c>
      <c r="B53" s="135">
        <v>1</v>
      </c>
      <c r="C53" s="136">
        <f t="shared" si="6"/>
        <v>26862</v>
      </c>
      <c r="D53" s="136">
        <v>12210</v>
      </c>
      <c r="E53" s="131"/>
      <c r="F53" s="132">
        <f>D53*120%</f>
        <v>14652</v>
      </c>
      <c r="G53" s="133">
        <f>C53*B53*12</f>
        <v>322344</v>
      </c>
    </row>
    <row r="54" spans="1:7" ht="15.75" x14ac:dyDescent="0.25">
      <c r="A54" s="162" t="s">
        <v>334</v>
      </c>
      <c r="B54" s="135">
        <v>1</v>
      </c>
      <c r="C54" s="136">
        <f t="shared" si="6"/>
        <v>32967</v>
      </c>
      <c r="D54" s="136">
        <v>12210</v>
      </c>
      <c r="E54" s="131"/>
      <c r="F54" s="132">
        <f>D54*170%</f>
        <v>20757</v>
      </c>
      <c r="G54" s="133">
        <f>C54*B54*12</f>
        <v>395604</v>
      </c>
    </row>
    <row r="55" spans="1:7" ht="15.75" x14ac:dyDescent="0.25">
      <c r="A55" s="141" t="s">
        <v>312</v>
      </c>
      <c r="B55" s="142">
        <f>SUM(B48:B54)</f>
        <v>17</v>
      </c>
      <c r="C55" s="146">
        <f>SUM(C48:C54)</f>
        <v>226057</v>
      </c>
      <c r="D55" s="146">
        <f>SUM(D48:D54)</f>
        <v>89470</v>
      </c>
      <c r="E55" s="146">
        <f>SUM(E48:E54)</f>
        <v>0</v>
      </c>
      <c r="F55" s="146">
        <f t="shared" ref="F55:G55" si="7">SUM(F48:F54)</f>
        <v>136587</v>
      </c>
      <c r="G55" s="146">
        <f t="shared" si="7"/>
        <v>6722076</v>
      </c>
    </row>
    <row r="56" spans="1:7" ht="15.75" customHeight="1" x14ac:dyDescent="0.25">
      <c r="A56" s="268" t="s">
        <v>323</v>
      </c>
      <c r="B56" s="269"/>
      <c r="C56" s="269"/>
      <c r="D56" s="269"/>
      <c r="E56" s="269"/>
      <c r="F56" s="269"/>
      <c r="G56" s="270"/>
    </row>
    <row r="57" spans="1:7" ht="15.75" x14ac:dyDescent="0.25">
      <c r="A57" s="145" t="s">
        <v>324</v>
      </c>
      <c r="B57" s="135">
        <v>2</v>
      </c>
      <c r="C57" s="136">
        <f>D57+E57+F57</f>
        <v>28083</v>
      </c>
      <c r="D57" s="136">
        <v>12210</v>
      </c>
      <c r="E57" s="131"/>
      <c r="F57" s="132">
        <f>D57*130%</f>
        <v>15873</v>
      </c>
      <c r="G57" s="133">
        <f t="shared" si="1"/>
        <v>673992</v>
      </c>
    </row>
    <row r="58" spans="1:7" ht="15.75" x14ac:dyDescent="0.25">
      <c r="A58" s="145" t="s">
        <v>325</v>
      </c>
      <c r="B58" s="135">
        <v>4</v>
      </c>
      <c r="C58" s="136">
        <f>D58+E58+F58</f>
        <v>28083</v>
      </c>
      <c r="D58" s="136">
        <v>12210</v>
      </c>
      <c r="E58" s="131"/>
      <c r="F58" s="132">
        <f>D58*130%</f>
        <v>15873</v>
      </c>
      <c r="G58" s="133">
        <f t="shared" si="1"/>
        <v>1347984</v>
      </c>
    </row>
    <row r="59" spans="1:7" ht="15.75" x14ac:dyDescent="0.25">
      <c r="A59" s="141" t="s">
        <v>312</v>
      </c>
      <c r="B59" s="142">
        <f t="shared" ref="B59:G59" si="8">SUM(B57:B58)</f>
        <v>6</v>
      </c>
      <c r="C59" s="146">
        <f t="shared" si="8"/>
        <v>56166</v>
      </c>
      <c r="D59" s="147">
        <f t="shared" si="8"/>
        <v>24420</v>
      </c>
      <c r="E59" s="147">
        <f t="shared" si="8"/>
        <v>0</v>
      </c>
      <c r="F59" s="148">
        <f t="shared" si="8"/>
        <v>31746</v>
      </c>
      <c r="G59" s="143">
        <f t="shared" si="8"/>
        <v>2021976</v>
      </c>
    </row>
    <row r="60" spans="1:7" ht="15.75" x14ac:dyDescent="0.25">
      <c r="A60" s="290" t="s">
        <v>326</v>
      </c>
      <c r="B60" s="291"/>
      <c r="C60" s="291"/>
      <c r="D60" s="291"/>
      <c r="E60" s="291"/>
      <c r="F60" s="291"/>
      <c r="G60" s="292"/>
    </row>
    <row r="61" spans="1:7" ht="31.5" x14ac:dyDescent="0.25">
      <c r="A61" s="145" t="s">
        <v>337</v>
      </c>
      <c r="B61" s="135">
        <v>1</v>
      </c>
      <c r="C61" s="136">
        <f t="shared" ref="C61:C67" si="9">D61+E61+F61</f>
        <v>36322</v>
      </c>
      <c r="D61" s="136">
        <v>13970</v>
      </c>
      <c r="E61" s="131"/>
      <c r="F61" s="132">
        <f>D61*160%</f>
        <v>22352</v>
      </c>
      <c r="G61" s="133">
        <f t="shared" ref="G61" si="10">C61*B61*12</f>
        <v>435864</v>
      </c>
    </row>
    <row r="62" spans="1:7" ht="15.75" x14ac:dyDescent="0.25">
      <c r="A62" s="145" t="s">
        <v>335</v>
      </c>
      <c r="B62" s="135">
        <v>1</v>
      </c>
      <c r="C62" s="136">
        <f t="shared" si="9"/>
        <v>25641</v>
      </c>
      <c r="D62" s="136">
        <v>12210</v>
      </c>
      <c r="E62" s="131"/>
      <c r="F62" s="132">
        <f t="shared" ref="F62" si="11">D62*110%</f>
        <v>13431.000000000002</v>
      </c>
      <c r="G62" s="133">
        <f t="shared" si="1"/>
        <v>307692</v>
      </c>
    </row>
    <row r="63" spans="1:7" ht="31.5" x14ac:dyDescent="0.25">
      <c r="A63" s="145" t="s">
        <v>336</v>
      </c>
      <c r="B63" s="135">
        <v>2</v>
      </c>
      <c r="C63" s="136">
        <f>D63+E63+F63</f>
        <v>21540</v>
      </c>
      <c r="D63" s="136">
        <v>10770</v>
      </c>
      <c r="E63" s="131"/>
      <c r="F63" s="132">
        <f>D63*100%</f>
        <v>10770</v>
      </c>
      <c r="G63" s="133">
        <f>C63*B63*12</f>
        <v>516960</v>
      </c>
    </row>
    <row r="64" spans="1:7" ht="15.75" x14ac:dyDescent="0.25">
      <c r="A64" s="145" t="s">
        <v>327</v>
      </c>
      <c r="B64" s="135">
        <v>2</v>
      </c>
      <c r="C64" s="136">
        <f t="shared" si="9"/>
        <v>21540</v>
      </c>
      <c r="D64" s="136">
        <v>10770</v>
      </c>
      <c r="E64" s="131"/>
      <c r="F64" s="132">
        <f>D64*100%</f>
        <v>10770</v>
      </c>
      <c r="G64" s="133">
        <f t="shared" si="1"/>
        <v>516960</v>
      </c>
    </row>
    <row r="65" spans="1:9" ht="15.75" x14ac:dyDescent="0.25">
      <c r="A65" s="145" t="s">
        <v>328</v>
      </c>
      <c r="B65" s="135">
        <v>8</v>
      </c>
      <c r="C65" s="136">
        <f t="shared" si="9"/>
        <v>18500</v>
      </c>
      <c r="D65" s="136">
        <v>9250</v>
      </c>
      <c r="E65" s="131"/>
      <c r="F65" s="132">
        <f>D65*100%</f>
        <v>9250</v>
      </c>
      <c r="G65" s="133">
        <f t="shared" si="1"/>
        <v>1776000</v>
      </c>
    </row>
    <row r="66" spans="1:9" ht="31.5" x14ac:dyDescent="0.25">
      <c r="A66" s="145" t="s">
        <v>329</v>
      </c>
      <c r="B66" s="135">
        <v>3</v>
      </c>
      <c r="C66" s="136">
        <f t="shared" si="9"/>
        <v>18500</v>
      </c>
      <c r="D66" s="136">
        <v>9250</v>
      </c>
      <c r="E66" s="131"/>
      <c r="F66" s="132">
        <f>D66*100%</f>
        <v>9250</v>
      </c>
      <c r="G66" s="133">
        <f>C66*B66*12</f>
        <v>666000</v>
      </c>
    </row>
    <row r="67" spans="1:9" ht="15.75" x14ac:dyDescent="0.25">
      <c r="A67" s="150" t="s">
        <v>330</v>
      </c>
      <c r="B67" s="151">
        <v>1</v>
      </c>
      <c r="C67" s="136">
        <f t="shared" si="9"/>
        <v>28988.5</v>
      </c>
      <c r="D67" s="152">
        <v>11240</v>
      </c>
      <c r="E67" s="131"/>
      <c r="F67" s="132">
        <f>D67*150%+888.5</f>
        <v>17748.5</v>
      </c>
      <c r="G67" s="133">
        <f>C67*B67*12</f>
        <v>347862</v>
      </c>
    </row>
    <row r="68" spans="1:9" ht="16.5" thickBot="1" x14ac:dyDescent="0.3">
      <c r="A68" s="153" t="s">
        <v>312</v>
      </c>
      <c r="B68" s="154">
        <f t="shared" ref="B68" si="12">SUM(B61:B67)</f>
        <v>18</v>
      </c>
      <c r="C68" s="155">
        <f>SUM(C61:C67)</f>
        <v>171031.5</v>
      </c>
      <c r="D68" s="155">
        <f>SUM(D61:D67)</f>
        <v>77460</v>
      </c>
      <c r="E68" s="155"/>
      <c r="F68" s="156">
        <f>SUM(F61:F67)</f>
        <v>93571.5</v>
      </c>
      <c r="G68" s="157">
        <f>SUM(G61:G67)</f>
        <v>4567338</v>
      </c>
    </row>
    <row r="69" spans="1:9" ht="16.5" thickBot="1" x14ac:dyDescent="0.3">
      <c r="A69" s="158" t="s">
        <v>331</v>
      </c>
      <c r="B69" s="159">
        <f>B30+B37+B41+B46+B55+B59+B68</f>
        <v>67</v>
      </c>
      <c r="C69" s="160">
        <f>C30+C37+C41+C46+C55+C59+C68</f>
        <v>1134676</v>
      </c>
      <c r="D69" s="160">
        <f>D30+D37+D41+D46+D55+D59+D68</f>
        <v>424414</v>
      </c>
      <c r="E69" s="160"/>
      <c r="F69" s="160">
        <f>F30+F37+F41+F46+F55+F59+F68</f>
        <v>710262</v>
      </c>
      <c r="G69" s="160">
        <f>G30+G37+G41+G46+G55+G59+G68</f>
        <v>23708340</v>
      </c>
    </row>
    <row r="70" spans="1:9" ht="15.75" x14ac:dyDescent="0.25">
      <c r="A70" s="296" t="s">
        <v>355</v>
      </c>
      <c r="B70" s="297"/>
      <c r="C70" s="297"/>
      <c r="D70" s="297"/>
      <c r="E70" s="297"/>
      <c r="F70" s="297"/>
      <c r="G70" s="298"/>
    </row>
    <row r="71" spans="1:9" ht="15.75" x14ac:dyDescent="0.25">
      <c r="A71" s="128" t="s">
        <v>356</v>
      </c>
      <c r="B71" s="129">
        <v>1</v>
      </c>
      <c r="C71" s="130">
        <f t="shared" ref="C71:C76" si="13">D71+E71+F71</f>
        <v>49402</v>
      </c>
      <c r="D71" s="130">
        <v>14530</v>
      </c>
      <c r="E71" s="131"/>
      <c r="F71" s="132">
        <f>D71*240%</f>
        <v>34872</v>
      </c>
      <c r="G71" s="133">
        <f>C71*B71*12</f>
        <v>592824</v>
      </c>
    </row>
    <row r="72" spans="1:9" ht="15.75" x14ac:dyDescent="0.25">
      <c r="A72" s="134" t="s">
        <v>338</v>
      </c>
      <c r="B72" s="135">
        <v>1</v>
      </c>
      <c r="C72" s="130">
        <f t="shared" si="13"/>
        <v>42377</v>
      </c>
      <c r="D72" s="136">
        <v>13670</v>
      </c>
      <c r="E72" s="131"/>
      <c r="F72" s="132">
        <f>D72*210%</f>
        <v>28707</v>
      </c>
      <c r="G72" s="133">
        <f t="shared" ref="G72:G74" si="14">C72*B72*12</f>
        <v>508524</v>
      </c>
    </row>
    <row r="73" spans="1:9" ht="15.75" x14ac:dyDescent="0.25">
      <c r="A73" s="134" t="s">
        <v>467</v>
      </c>
      <c r="B73" s="135">
        <v>1</v>
      </c>
      <c r="C73" s="130">
        <f t="shared" si="13"/>
        <v>32967</v>
      </c>
      <c r="D73" s="136">
        <v>12210</v>
      </c>
      <c r="E73" s="131"/>
      <c r="F73" s="132">
        <f>D73*170%</f>
        <v>20757</v>
      </c>
      <c r="G73" s="133">
        <f t="shared" si="14"/>
        <v>395604</v>
      </c>
    </row>
    <row r="74" spans="1:9" ht="15.75" x14ac:dyDescent="0.25">
      <c r="A74" s="134" t="s">
        <v>358</v>
      </c>
      <c r="B74" s="135">
        <v>1</v>
      </c>
      <c r="C74" s="130">
        <f t="shared" si="13"/>
        <v>33956</v>
      </c>
      <c r="D74" s="136">
        <v>13060</v>
      </c>
      <c r="E74" s="131"/>
      <c r="F74" s="132">
        <f>D74*160%</f>
        <v>20896</v>
      </c>
      <c r="G74" s="133">
        <f t="shared" si="14"/>
        <v>407472</v>
      </c>
    </row>
    <row r="75" spans="1:9" ht="15.75" x14ac:dyDescent="0.25">
      <c r="A75" s="128" t="s">
        <v>468</v>
      </c>
      <c r="B75" s="129">
        <v>1</v>
      </c>
      <c r="C75" s="130">
        <f t="shared" si="13"/>
        <v>28868</v>
      </c>
      <c r="D75" s="130">
        <v>10310</v>
      </c>
      <c r="E75" s="131"/>
      <c r="F75" s="132">
        <f>D75*180%</f>
        <v>18558</v>
      </c>
      <c r="G75" s="133">
        <f>C75*B75*12</f>
        <v>346416</v>
      </c>
    </row>
    <row r="76" spans="1:9" ht="15.75" x14ac:dyDescent="0.25">
      <c r="A76" s="128" t="s">
        <v>353</v>
      </c>
      <c r="B76" s="129">
        <v>1</v>
      </c>
      <c r="C76" s="130">
        <f t="shared" si="13"/>
        <v>27426</v>
      </c>
      <c r="D76" s="130">
        <v>13060</v>
      </c>
      <c r="E76" s="131"/>
      <c r="F76" s="132">
        <f>D76*110%</f>
        <v>14366.000000000002</v>
      </c>
      <c r="G76" s="133">
        <f>C76*B76*12</f>
        <v>329112</v>
      </c>
    </row>
    <row r="77" spans="1:9" ht="15.75" x14ac:dyDescent="0.25">
      <c r="A77" s="141" t="s">
        <v>312</v>
      </c>
      <c r="B77" s="142">
        <f>SUM(B71:B76)</f>
        <v>6</v>
      </c>
      <c r="C77" s="143">
        <f>SUM(C71:C76)</f>
        <v>214996</v>
      </c>
      <c r="D77" s="143">
        <f>SUM(D71:D76)</f>
        <v>76840</v>
      </c>
      <c r="E77" s="143">
        <f>SUM(E75:E75)</f>
        <v>0</v>
      </c>
      <c r="F77" s="144">
        <f>SUM(F71:F76)</f>
        <v>138156</v>
      </c>
      <c r="G77" s="143">
        <f>SUM(G71:G76)</f>
        <v>2579952</v>
      </c>
    </row>
    <row r="78" spans="1:9" ht="15.75" x14ac:dyDescent="0.25">
      <c r="A78" s="268" t="s">
        <v>315</v>
      </c>
      <c r="B78" s="269"/>
      <c r="C78" s="269"/>
      <c r="D78" s="269"/>
      <c r="E78" s="269"/>
      <c r="F78" s="269"/>
      <c r="G78" s="270"/>
      <c r="H78" s="166"/>
      <c r="I78" s="166"/>
    </row>
    <row r="79" spans="1:9" ht="15.75" x14ac:dyDescent="0.25">
      <c r="A79" s="128" t="s">
        <v>357</v>
      </c>
      <c r="B79" s="129">
        <v>1</v>
      </c>
      <c r="C79" s="130">
        <f t="shared" ref="C79" si="15">D79+E79+F79</f>
        <v>42377</v>
      </c>
      <c r="D79" s="130">
        <v>13670</v>
      </c>
      <c r="E79" s="131"/>
      <c r="F79" s="132">
        <f>D79*210%</f>
        <v>28707</v>
      </c>
      <c r="G79" s="133">
        <f>C79*B79*12</f>
        <v>508524</v>
      </c>
      <c r="H79" s="167"/>
      <c r="I79" s="167"/>
    </row>
    <row r="80" spans="1:9" ht="15.75" x14ac:dyDescent="0.25">
      <c r="A80" s="145" t="s">
        <v>316</v>
      </c>
      <c r="B80" s="135">
        <v>2</v>
      </c>
      <c r="C80" s="136">
        <f>D80+E80+F80</f>
        <v>33176</v>
      </c>
      <c r="D80" s="136">
        <v>12760</v>
      </c>
      <c r="E80" s="131"/>
      <c r="F80" s="132">
        <f>D80*160%</f>
        <v>20416</v>
      </c>
      <c r="G80" s="133">
        <f t="shared" ref="G80:G81" si="16">C80*B80*12</f>
        <v>796224</v>
      </c>
      <c r="H80" s="168"/>
      <c r="I80" s="168"/>
    </row>
    <row r="81" spans="1:9" ht="15.75" x14ac:dyDescent="0.25">
      <c r="A81" s="145" t="s">
        <v>317</v>
      </c>
      <c r="B81" s="135">
        <v>9</v>
      </c>
      <c r="C81" s="136">
        <f>D81+E81+F81</f>
        <v>21356</v>
      </c>
      <c r="D81" s="136">
        <v>11240</v>
      </c>
      <c r="E81" s="131"/>
      <c r="F81" s="132">
        <f>D81*90%</f>
        <v>10116</v>
      </c>
      <c r="G81" s="133">
        <f t="shared" si="16"/>
        <v>2306448</v>
      </c>
      <c r="H81" s="168"/>
      <c r="I81" s="168"/>
    </row>
    <row r="82" spans="1:9" ht="15.75" customHeight="1" x14ac:dyDescent="0.25">
      <c r="A82" s="145" t="s">
        <v>366</v>
      </c>
      <c r="B82" s="135">
        <v>4</v>
      </c>
      <c r="C82" s="136">
        <f>D82+E82+F82</f>
        <v>22682</v>
      </c>
      <c r="D82" s="136">
        <v>10310</v>
      </c>
      <c r="E82" s="131"/>
      <c r="F82" s="132">
        <f>D82*120%</f>
        <v>12372</v>
      </c>
      <c r="G82" s="133">
        <f>C82*B82*12</f>
        <v>1088736</v>
      </c>
      <c r="H82" s="168"/>
      <c r="I82" s="168"/>
    </row>
    <row r="83" spans="1:9" ht="15.75" x14ac:dyDescent="0.25">
      <c r="A83" s="145" t="s">
        <v>332</v>
      </c>
      <c r="B83" s="135">
        <v>1</v>
      </c>
      <c r="C83" s="136">
        <f>D83+E83+F83</f>
        <v>22682</v>
      </c>
      <c r="D83" s="136">
        <v>10310</v>
      </c>
      <c r="E83" s="131"/>
      <c r="F83" s="132">
        <f>D83*120%</f>
        <v>12372</v>
      </c>
      <c r="G83" s="133">
        <f>C83*B83*12</f>
        <v>272184</v>
      </c>
      <c r="H83" s="168"/>
      <c r="I83" s="168"/>
    </row>
    <row r="84" spans="1:9" ht="15.75" x14ac:dyDescent="0.25">
      <c r="A84" s="141" t="s">
        <v>312</v>
      </c>
      <c r="B84" s="142">
        <f t="shared" ref="B84:G84" si="17">SUM(B79:B83)</f>
        <v>17</v>
      </c>
      <c r="C84" s="146">
        <f>SUM(C79:C83)</f>
        <v>142273</v>
      </c>
      <c r="D84" s="146">
        <f t="shared" si="17"/>
        <v>58290</v>
      </c>
      <c r="E84" s="146">
        <f t="shared" si="17"/>
        <v>0</v>
      </c>
      <c r="F84" s="149">
        <f t="shared" si="17"/>
        <v>83983</v>
      </c>
      <c r="G84" s="143">
        <f t="shared" si="17"/>
        <v>4972116</v>
      </c>
      <c r="H84" s="168"/>
      <c r="I84" s="168"/>
    </row>
    <row r="85" spans="1:9" ht="15.75" customHeight="1" x14ac:dyDescent="0.25">
      <c r="A85" s="271" t="s">
        <v>318</v>
      </c>
      <c r="B85" s="272"/>
      <c r="C85" s="272"/>
      <c r="D85" s="272"/>
      <c r="E85" s="272"/>
      <c r="F85" s="272"/>
      <c r="G85" s="273"/>
    </row>
    <row r="86" spans="1:9" ht="15.75" x14ac:dyDescent="0.25">
      <c r="A86" s="128" t="s">
        <v>357</v>
      </c>
      <c r="B86" s="129">
        <v>1</v>
      </c>
      <c r="C86" s="130">
        <f t="shared" ref="C86:C93" si="18">D86+E86+F86</f>
        <v>42377</v>
      </c>
      <c r="D86" s="130">
        <v>13670</v>
      </c>
      <c r="E86" s="131"/>
      <c r="F86" s="132">
        <f>D86*210%</f>
        <v>28707</v>
      </c>
      <c r="G86" s="133">
        <f>C86*B86*12</f>
        <v>508524</v>
      </c>
    </row>
    <row r="87" spans="1:9" ht="31.5" x14ac:dyDescent="0.25">
      <c r="A87" s="145" t="s">
        <v>333</v>
      </c>
      <c r="B87" s="135">
        <v>1</v>
      </c>
      <c r="C87" s="136">
        <f t="shared" si="18"/>
        <v>37408</v>
      </c>
      <c r="D87" s="136">
        <v>13360</v>
      </c>
      <c r="E87" s="131"/>
      <c r="F87" s="132">
        <f>D87*180%</f>
        <v>24048</v>
      </c>
      <c r="G87" s="133">
        <f t="shared" ref="G87:G90" si="19">C87*B87*12</f>
        <v>448896</v>
      </c>
    </row>
    <row r="88" spans="1:9" ht="31.5" x14ac:dyDescent="0.25">
      <c r="A88" s="145" t="s">
        <v>361</v>
      </c>
      <c r="B88" s="135">
        <v>1</v>
      </c>
      <c r="C88" s="136">
        <f t="shared" si="18"/>
        <v>37408</v>
      </c>
      <c r="D88" s="136">
        <v>13360</v>
      </c>
      <c r="E88" s="131"/>
      <c r="F88" s="132">
        <f>D88*180%</f>
        <v>24048</v>
      </c>
      <c r="G88" s="133">
        <f t="shared" si="19"/>
        <v>448896</v>
      </c>
    </row>
    <row r="89" spans="1:9" ht="15.75" x14ac:dyDescent="0.25">
      <c r="A89" s="145" t="s">
        <v>320</v>
      </c>
      <c r="B89" s="135">
        <v>3</v>
      </c>
      <c r="C89" s="136">
        <f t="shared" si="18"/>
        <v>37408</v>
      </c>
      <c r="D89" s="136">
        <v>13360</v>
      </c>
      <c r="E89" s="131"/>
      <c r="F89" s="132">
        <f>D89*180%</f>
        <v>24048</v>
      </c>
      <c r="G89" s="133">
        <f t="shared" si="19"/>
        <v>1346688</v>
      </c>
    </row>
    <row r="90" spans="1:9" ht="15.75" x14ac:dyDescent="0.25">
      <c r="A90" s="145" t="s">
        <v>321</v>
      </c>
      <c r="B90" s="135">
        <v>2</v>
      </c>
      <c r="C90" s="136">
        <f t="shared" si="18"/>
        <v>32967</v>
      </c>
      <c r="D90" s="136">
        <v>12210</v>
      </c>
      <c r="E90" s="131"/>
      <c r="F90" s="132">
        <f>D90*170%</f>
        <v>20757</v>
      </c>
      <c r="G90" s="133">
        <f t="shared" si="19"/>
        <v>791208</v>
      </c>
    </row>
    <row r="91" spans="1:9" ht="15.75" x14ac:dyDescent="0.25">
      <c r="A91" s="145" t="s">
        <v>322</v>
      </c>
      <c r="B91" s="135">
        <v>6</v>
      </c>
      <c r="C91" s="136">
        <f t="shared" si="18"/>
        <v>35262</v>
      </c>
      <c r="D91" s="136">
        <v>13060</v>
      </c>
      <c r="E91" s="131"/>
      <c r="F91" s="132">
        <f>D91*170%</f>
        <v>22202</v>
      </c>
      <c r="G91" s="133">
        <f>C91*B91*12</f>
        <v>2538864</v>
      </c>
    </row>
    <row r="92" spans="1:9" ht="31.5" x14ac:dyDescent="0.25">
      <c r="A92" s="145" t="s">
        <v>362</v>
      </c>
      <c r="B92" s="135">
        <v>1</v>
      </c>
      <c r="C92" s="136">
        <f t="shared" si="18"/>
        <v>33669</v>
      </c>
      <c r="D92" s="136">
        <v>12470</v>
      </c>
      <c r="E92" s="131"/>
      <c r="F92" s="132">
        <f>D92*170%</f>
        <v>21199</v>
      </c>
      <c r="G92" s="133">
        <f>C92*B92*12</f>
        <v>404028</v>
      </c>
    </row>
    <row r="93" spans="1:9" ht="15.75" customHeight="1" x14ac:dyDescent="0.25">
      <c r="A93" s="145" t="s">
        <v>363</v>
      </c>
      <c r="B93" s="135">
        <v>1</v>
      </c>
      <c r="C93" s="136">
        <f t="shared" si="18"/>
        <v>30525</v>
      </c>
      <c r="D93" s="136">
        <v>12210</v>
      </c>
      <c r="E93" s="131"/>
      <c r="F93" s="132">
        <f>D93*150%</f>
        <v>18315</v>
      </c>
      <c r="G93" s="133">
        <f>C93*B93*12</f>
        <v>366300</v>
      </c>
    </row>
    <row r="94" spans="1:9" ht="15.75" x14ac:dyDescent="0.25">
      <c r="A94" s="162" t="s">
        <v>334</v>
      </c>
      <c r="B94" s="135">
        <v>1</v>
      </c>
      <c r="C94" s="136">
        <f>D94+E94+F94</f>
        <v>31746</v>
      </c>
      <c r="D94" s="136">
        <v>12210</v>
      </c>
      <c r="E94" s="131"/>
      <c r="F94" s="132">
        <f>D94*160%</f>
        <v>19536</v>
      </c>
      <c r="G94" s="133">
        <f>C94*B94*12</f>
        <v>380952</v>
      </c>
    </row>
    <row r="95" spans="1:9" ht="31.5" x14ac:dyDescent="0.25">
      <c r="A95" s="138" t="s">
        <v>311</v>
      </c>
      <c r="B95" s="139">
        <v>1</v>
      </c>
      <c r="C95" s="130">
        <f>D95+E95+F95</f>
        <v>35262</v>
      </c>
      <c r="D95" s="140">
        <v>13060</v>
      </c>
      <c r="E95" s="131"/>
      <c r="F95" s="132">
        <f>D95*170%</f>
        <v>22202</v>
      </c>
      <c r="G95" s="133">
        <f>C95*B95*12</f>
        <v>423144</v>
      </c>
    </row>
    <row r="96" spans="1:9" ht="15.75" x14ac:dyDescent="0.25">
      <c r="A96" s="141" t="s">
        <v>312</v>
      </c>
      <c r="B96" s="142">
        <f>SUM(B86:B95)</f>
        <v>18</v>
      </c>
      <c r="C96" s="146">
        <f>SUM(C86:C95)</f>
        <v>354032</v>
      </c>
      <c r="D96" s="146">
        <f>SUM(D86:D95)</f>
        <v>128970</v>
      </c>
      <c r="E96" s="146">
        <f t="shared" ref="E96" si="20">SUM(E86:E93)</f>
        <v>0</v>
      </c>
      <c r="F96" s="149">
        <f>SUM(F86:F95)</f>
        <v>225062</v>
      </c>
      <c r="G96" s="143">
        <f>SUM(G86:G95)</f>
        <v>7657500</v>
      </c>
    </row>
    <row r="97" spans="1:7" ht="15.75" customHeight="1" x14ac:dyDescent="0.25">
      <c r="A97" s="268" t="s">
        <v>323</v>
      </c>
      <c r="B97" s="269"/>
      <c r="C97" s="269"/>
      <c r="D97" s="269"/>
      <c r="E97" s="269"/>
      <c r="F97" s="269"/>
      <c r="G97" s="270"/>
    </row>
    <row r="98" spans="1:7" ht="15.75" x14ac:dyDescent="0.25">
      <c r="A98" s="128" t="s">
        <v>357</v>
      </c>
      <c r="B98" s="129">
        <v>1</v>
      </c>
      <c r="C98" s="130">
        <f t="shared" ref="C98" si="21">D98+E98+F98</f>
        <v>41010</v>
      </c>
      <c r="D98" s="130">
        <v>13670</v>
      </c>
      <c r="E98" s="131"/>
      <c r="F98" s="132">
        <f>D98*200%</f>
        <v>27340</v>
      </c>
      <c r="G98" s="133">
        <f>C98*B98*12</f>
        <v>492120</v>
      </c>
    </row>
    <row r="99" spans="1:7" ht="15.75" x14ac:dyDescent="0.25">
      <c r="A99" s="145" t="s">
        <v>324</v>
      </c>
      <c r="B99" s="135">
        <v>3</v>
      </c>
      <c r="C99" s="136">
        <f>D99+E99+F99</f>
        <v>27472.5</v>
      </c>
      <c r="D99" s="136">
        <v>12210</v>
      </c>
      <c r="E99" s="131"/>
      <c r="F99" s="132">
        <f>D99*125%</f>
        <v>15262.5</v>
      </c>
      <c r="G99" s="133">
        <f>C99*B99*12</f>
        <v>989010</v>
      </c>
    </row>
    <row r="100" spans="1:7" ht="15.75" x14ac:dyDescent="0.25">
      <c r="A100" s="145" t="s">
        <v>325</v>
      </c>
      <c r="B100" s="135">
        <v>2</v>
      </c>
      <c r="C100" s="136">
        <f>D100+E100+F100</f>
        <v>28083</v>
      </c>
      <c r="D100" s="136">
        <v>12210</v>
      </c>
      <c r="E100" s="131"/>
      <c r="F100" s="132">
        <f>D100*130%</f>
        <v>15873</v>
      </c>
      <c r="G100" s="133">
        <f t="shared" ref="G100" si="22">C100*B100*12</f>
        <v>673992</v>
      </c>
    </row>
    <row r="101" spans="1:7" ht="15.75" x14ac:dyDescent="0.25">
      <c r="A101" s="141" t="s">
        <v>312</v>
      </c>
      <c r="B101" s="142">
        <f t="shared" ref="B101:G101" si="23">SUM(B98:B100)</f>
        <v>6</v>
      </c>
      <c r="C101" s="146">
        <f t="shared" si="23"/>
        <v>96565.5</v>
      </c>
      <c r="D101" s="147">
        <f t="shared" si="23"/>
        <v>38090</v>
      </c>
      <c r="E101" s="147">
        <f t="shared" si="23"/>
        <v>0</v>
      </c>
      <c r="F101" s="148">
        <f t="shared" si="23"/>
        <v>58475.5</v>
      </c>
      <c r="G101" s="143">
        <f t="shared" si="23"/>
        <v>2155122</v>
      </c>
    </row>
    <row r="102" spans="1:7" ht="15.75" x14ac:dyDescent="0.25">
      <c r="A102" s="290" t="s">
        <v>326</v>
      </c>
      <c r="B102" s="291"/>
      <c r="C102" s="291"/>
      <c r="D102" s="291"/>
      <c r="E102" s="291"/>
      <c r="F102" s="291"/>
      <c r="G102" s="292"/>
    </row>
    <row r="103" spans="1:7" ht="31.5" x14ac:dyDescent="0.25">
      <c r="A103" s="134" t="s">
        <v>337</v>
      </c>
      <c r="B103" s="135">
        <v>1</v>
      </c>
      <c r="C103" s="136">
        <f t="shared" ref="C103:C107" si="24">D103+E103+F103</f>
        <v>41910</v>
      </c>
      <c r="D103" s="136">
        <v>13970</v>
      </c>
      <c r="E103" s="131"/>
      <c r="F103" s="132">
        <f>D103*200%</f>
        <v>27940</v>
      </c>
      <c r="G103" s="133">
        <f t="shared" ref="G103:G104" si="25">C103*B103*12</f>
        <v>502920</v>
      </c>
    </row>
    <row r="104" spans="1:7" ht="15.75" x14ac:dyDescent="0.25">
      <c r="A104" s="145" t="s">
        <v>335</v>
      </c>
      <c r="B104" s="135">
        <v>1</v>
      </c>
      <c r="C104" s="136">
        <f t="shared" si="24"/>
        <v>26862</v>
      </c>
      <c r="D104" s="136">
        <v>12210</v>
      </c>
      <c r="E104" s="131"/>
      <c r="F104" s="132">
        <f>D104*120%</f>
        <v>14652</v>
      </c>
      <c r="G104" s="133">
        <f t="shared" si="25"/>
        <v>322344</v>
      </c>
    </row>
    <row r="105" spans="1:7" ht="31.5" x14ac:dyDescent="0.25">
      <c r="A105" s="145" t="s">
        <v>336</v>
      </c>
      <c r="B105" s="135">
        <v>2</v>
      </c>
      <c r="C105" s="136">
        <f t="shared" si="24"/>
        <v>23694</v>
      </c>
      <c r="D105" s="136">
        <v>10770</v>
      </c>
      <c r="E105" s="131"/>
      <c r="F105" s="132">
        <f>D105*120%</f>
        <v>12924</v>
      </c>
      <c r="G105" s="133">
        <f>C105*B105*12</f>
        <v>568656</v>
      </c>
    </row>
    <row r="106" spans="1:7" ht="15.75" x14ac:dyDescent="0.25">
      <c r="A106" s="145" t="s">
        <v>327</v>
      </c>
      <c r="B106" s="135">
        <v>2</v>
      </c>
      <c r="C106" s="136">
        <f t="shared" si="24"/>
        <v>23694</v>
      </c>
      <c r="D106" s="136">
        <v>10770</v>
      </c>
      <c r="E106" s="131"/>
      <c r="F106" s="132">
        <f>D106*120%</f>
        <v>12924</v>
      </c>
      <c r="G106" s="133">
        <f t="shared" ref="G106:G107" si="26">C106*B106*12</f>
        <v>568656</v>
      </c>
    </row>
    <row r="107" spans="1:7" ht="15.75" x14ac:dyDescent="0.25">
      <c r="A107" s="145" t="s">
        <v>328</v>
      </c>
      <c r="B107" s="135">
        <v>8</v>
      </c>
      <c r="C107" s="136">
        <f t="shared" si="24"/>
        <v>21275</v>
      </c>
      <c r="D107" s="136">
        <v>9250</v>
      </c>
      <c r="E107" s="131"/>
      <c r="F107" s="132">
        <f>D107*130%</f>
        <v>12025</v>
      </c>
      <c r="G107" s="133">
        <f t="shared" si="26"/>
        <v>2042400</v>
      </c>
    </row>
    <row r="108" spans="1:7" ht="31.5" x14ac:dyDescent="0.25">
      <c r="A108" s="134" t="s">
        <v>329</v>
      </c>
      <c r="B108" s="135">
        <v>2</v>
      </c>
      <c r="C108" s="136">
        <f>D108+E108+F108</f>
        <v>21275</v>
      </c>
      <c r="D108" s="136">
        <v>9250</v>
      </c>
      <c r="E108" s="131"/>
      <c r="F108" s="132">
        <f>D108*130%</f>
        <v>12025</v>
      </c>
      <c r="G108" s="133">
        <f>C108*B108*12</f>
        <v>510600</v>
      </c>
    </row>
    <row r="109" spans="1:7" ht="15.75" x14ac:dyDescent="0.25">
      <c r="A109" s="150" t="s">
        <v>330</v>
      </c>
      <c r="B109" s="151">
        <v>1</v>
      </c>
      <c r="C109" s="136">
        <f>D109+E109+F109</f>
        <v>28489.920000000002</v>
      </c>
      <c r="D109" s="152">
        <v>11240</v>
      </c>
      <c r="E109" s="131"/>
      <c r="F109" s="132">
        <f>D109*150%+446.75-23.245-33.585</f>
        <v>17249.920000000002</v>
      </c>
      <c r="G109" s="133">
        <f>C109*B109*12</f>
        <v>341879.04000000004</v>
      </c>
    </row>
    <row r="110" spans="1:7" ht="16.5" thickBot="1" x14ac:dyDescent="0.3">
      <c r="A110" s="153" t="s">
        <v>312</v>
      </c>
      <c r="B110" s="154">
        <f>SUM(B103:B109)</f>
        <v>17</v>
      </c>
      <c r="C110" s="155">
        <f>SUM(C103:C109)</f>
        <v>187199.92</v>
      </c>
      <c r="D110" s="155">
        <f>SUM(D103:D109)</f>
        <v>77460</v>
      </c>
      <c r="E110" s="155"/>
      <c r="F110" s="156">
        <f>SUM(F103:F109)</f>
        <v>109739.92</v>
      </c>
      <c r="G110" s="157">
        <f>SUM(G103:G109)</f>
        <v>4857455.04</v>
      </c>
    </row>
    <row r="111" spans="1:7" ht="16.5" thickBot="1" x14ac:dyDescent="0.3">
      <c r="A111" s="158" t="s">
        <v>364</v>
      </c>
      <c r="B111" s="159">
        <f>B110+B101+B96+B84+B77</f>
        <v>64</v>
      </c>
      <c r="C111" s="160">
        <f>C110+C101+C96+C84+C77</f>
        <v>995066.42</v>
      </c>
      <c r="D111" s="160">
        <f>D110+D101+D96+D84+D77</f>
        <v>379650</v>
      </c>
      <c r="E111" s="161"/>
      <c r="F111" s="160">
        <f>F110+F101+F96+F84+F77</f>
        <v>615416.41999999993</v>
      </c>
      <c r="G111" s="160">
        <f>G110+G101+G96+G84+G77</f>
        <v>22222145.039999999</v>
      </c>
    </row>
    <row r="112" spans="1:7" ht="16.5" thickBot="1" x14ac:dyDescent="0.3">
      <c r="A112" s="158" t="s">
        <v>365</v>
      </c>
      <c r="B112" s="159">
        <f>B111+B69</f>
        <v>131</v>
      </c>
      <c r="C112" s="161">
        <f>C111+C69</f>
        <v>2129742.42</v>
      </c>
      <c r="D112" s="161">
        <f>D111+D69</f>
        <v>804064</v>
      </c>
      <c r="E112" s="161"/>
      <c r="F112" s="161">
        <f>F111+F69</f>
        <v>1325678.42</v>
      </c>
      <c r="G112" s="161">
        <f>G111+G69</f>
        <v>45930485.039999999</v>
      </c>
    </row>
    <row r="113" spans="1:7" ht="18.75" x14ac:dyDescent="0.25">
      <c r="A113" s="187"/>
      <c r="B113" s="187"/>
      <c r="C113" s="187"/>
      <c r="D113" s="187"/>
      <c r="E113" s="187"/>
      <c r="F113" s="187"/>
      <c r="G113" s="187"/>
    </row>
    <row r="114" spans="1:7" ht="18.75" x14ac:dyDescent="0.3">
      <c r="A114" s="9" t="s">
        <v>145</v>
      </c>
      <c r="B114" s="10">
        <v>111.119</v>
      </c>
    </row>
    <row r="115" spans="1:7" x14ac:dyDescent="0.25">
      <c r="A115" s="11"/>
    </row>
    <row r="116" spans="1:7" ht="15" customHeight="1" x14ac:dyDescent="0.25">
      <c r="A116" s="334" t="s">
        <v>84</v>
      </c>
      <c r="B116" s="306" t="s">
        <v>244</v>
      </c>
      <c r="C116" s="307"/>
      <c r="D116" s="306" t="s">
        <v>185</v>
      </c>
      <c r="E116" s="307"/>
      <c r="F116" s="306" t="s">
        <v>85</v>
      </c>
      <c r="G116" s="307"/>
    </row>
    <row r="117" spans="1:7" ht="36.75" customHeight="1" x14ac:dyDescent="0.25">
      <c r="A117" s="335"/>
      <c r="B117" s="308"/>
      <c r="C117" s="309"/>
      <c r="D117" s="308"/>
      <c r="E117" s="309"/>
      <c r="F117" s="308"/>
      <c r="G117" s="309"/>
    </row>
    <row r="118" spans="1:7" ht="18.75" x14ac:dyDescent="0.25">
      <c r="A118" s="188">
        <v>1</v>
      </c>
      <c r="B118" s="257">
        <v>2</v>
      </c>
      <c r="C118" s="258"/>
      <c r="D118" s="257">
        <v>3</v>
      </c>
      <c r="E118" s="258"/>
      <c r="F118" s="257">
        <v>4</v>
      </c>
      <c r="G118" s="258"/>
    </row>
    <row r="119" spans="1:7" ht="18.75" x14ac:dyDescent="0.25">
      <c r="A119" s="13">
        <v>131</v>
      </c>
      <c r="B119" s="255">
        <f>'гос.задание на 2023-2024 год '!D26+'гос.задание на 2023-2024 год '!D28+'гос.задание на 2023-2024 год '!D66</f>
        <v>59786391.549999997</v>
      </c>
      <c r="C119" s="256"/>
      <c r="D119" s="255">
        <f>'гос.задание на 2023-2024 год '!E26+'гос.задание на 2023-2024 год '!E66</f>
        <v>45930485.039999999</v>
      </c>
      <c r="E119" s="256"/>
      <c r="F119" s="255">
        <f>B119-D119</f>
        <v>13855906.509999998</v>
      </c>
      <c r="G119" s="256"/>
    </row>
    <row r="120" spans="1:7" ht="18.75" x14ac:dyDescent="0.25">
      <c r="A120" s="8"/>
    </row>
    <row r="121" spans="1:7" ht="43.5" customHeight="1" x14ac:dyDescent="0.25">
      <c r="A121" s="282" t="s">
        <v>203</v>
      </c>
      <c r="B121" s="282"/>
      <c r="C121" s="282"/>
      <c r="D121" s="282"/>
      <c r="E121" s="282"/>
      <c r="F121" s="282"/>
      <c r="G121" s="282"/>
    </row>
    <row r="122" spans="1:7" ht="18.75" x14ac:dyDescent="0.25">
      <c r="A122" s="9"/>
    </row>
    <row r="123" spans="1:7" ht="18.75" x14ac:dyDescent="0.3">
      <c r="A123" s="9" t="s">
        <v>147</v>
      </c>
      <c r="B123" s="10">
        <v>112</v>
      </c>
    </row>
    <row r="124" spans="1:7" x14ac:dyDescent="0.25">
      <c r="A124" s="11"/>
    </row>
    <row r="125" spans="1:7" ht="75" x14ac:dyDescent="0.25">
      <c r="A125" s="188" t="s">
        <v>86</v>
      </c>
      <c r="B125" s="188" t="s">
        <v>87</v>
      </c>
      <c r="C125" s="257" t="s">
        <v>88</v>
      </c>
      <c r="D125" s="258"/>
      <c r="E125" s="188" t="s">
        <v>89</v>
      </c>
      <c r="F125" s="257" t="s">
        <v>90</v>
      </c>
      <c r="G125" s="258"/>
    </row>
    <row r="126" spans="1:7" ht="18.75" x14ac:dyDescent="0.25">
      <c r="A126" s="188">
        <v>1</v>
      </c>
      <c r="B126" s="188">
        <v>2</v>
      </c>
      <c r="C126" s="257">
        <v>3</v>
      </c>
      <c r="D126" s="258"/>
      <c r="E126" s="188">
        <v>4</v>
      </c>
      <c r="F126" s="257">
        <v>5</v>
      </c>
      <c r="G126" s="258"/>
    </row>
    <row r="127" spans="1:7" ht="18.75" x14ac:dyDescent="0.25">
      <c r="A127" s="13" t="s">
        <v>91</v>
      </c>
      <c r="B127" s="188">
        <v>10</v>
      </c>
      <c r="C127" s="255">
        <v>100</v>
      </c>
      <c r="D127" s="256"/>
      <c r="E127" s="188">
        <v>8</v>
      </c>
      <c r="F127" s="255">
        <f>'гос.задание на 2023-2024 год '!D27</f>
        <v>8000</v>
      </c>
      <c r="G127" s="256"/>
    </row>
    <row r="128" spans="1:7" ht="18.75" x14ac:dyDescent="0.25">
      <c r="A128" s="8"/>
    </row>
    <row r="129" spans="1:7" ht="45" customHeight="1" x14ac:dyDescent="0.25">
      <c r="A129" s="282" t="s">
        <v>207</v>
      </c>
      <c r="B129" s="282"/>
      <c r="C129" s="282"/>
      <c r="D129" s="282"/>
      <c r="E129" s="282"/>
      <c r="F129" s="282"/>
      <c r="G129" s="282"/>
    </row>
    <row r="130" spans="1:7" ht="18.75" x14ac:dyDescent="0.25">
      <c r="A130" s="189"/>
      <c r="B130" s="189"/>
      <c r="C130" s="189"/>
      <c r="D130" s="189"/>
      <c r="E130" s="189"/>
      <c r="F130" s="189"/>
      <c r="G130" s="189"/>
    </row>
    <row r="131" spans="1:7" ht="18.75" x14ac:dyDescent="0.3">
      <c r="A131" s="9" t="s">
        <v>145</v>
      </c>
      <c r="B131" s="10">
        <v>111</v>
      </c>
    </row>
    <row r="132" spans="1:7" x14ac:dyDescent="0.25">
      <c r="A132" s="11"/>
    </row>
    <row r="133" spans="1:7" ht="18.75" x14ac:dyDescent="0.25">
      <c r="A133" s="106" t="s">
        <v>86</v>
      </c>
      <c r="B133" s="275" t="s">
        <v>99</v>
      </c>
      <c r="C133" s="275"/>
      <c r="D133" s="275" t="s">
        <v>100</v>
      </c>
      <c r="E133" s="275"/>
      <c r="F133" s="275" t="s">
        <v>101</v>
      </c>
      <c r="G133" s="275"/>
    </row>
    <row r="134" spans="1:7" ht="18.75" x14ac:dyDescent="0.3">
      <c r="A134" s="106">
        <v>1</v>
      </c>
      <c r="B134" s="257">
        <v>2</v>
      </c>
      <c r="C134" s="258"/>
      <c r="D134" s="257">
        <v>3</v>
      </c>
      <c r="E134" s="258"/>
      <c r="F134" s="248">
        <v>4</v>
      </c>
      <c r="G134" s="249"/>
    </row>
    <row r="135" spans="1:7" ht="56.25" x14ac:dyDescent="0.25">
      <c r="A135" s="13" t="s">
        <v>102</v>
      </c>
      <c r="B135" s="257">
        <v>24</v>
      </c>
      <c r="C135" s="258"/>
      <c r="D135" s="257">
        <v>2083.33</v>
      </c>
      <c r="E135" s="258"/>
      <c r="F135" s="299">
        <f>'гос.задание на 2023-2024 год '!D66</f>
        <v>49999.92</v>
      </c>
      <c r="G135" s="300"/>
    </row>
    <row r="136" spans="1:7" ht="18" customHeight="1" x14ac:dyDescent="0.25">
      <c r="A136" s="15"/>
      <c r="B136" s="16"/>
      <c r="C136" s="16"/>
      <c r="D136" s="16"/>
      <c r="E136" s="16"/>
      <c r="F136" s="17"/>
      <c r="G136" s="17"/>
    </row>
    <row r="137" spans="1:7" ht="18" customHeight="1" x14ac:dyDescent="0.25">
      <c r="A137" s="282" t="s">
        <v>226</v>
      </c>
      <c r="B137" s="282"/>
      <c r="C137" s="282"/>
      <c r="D137" s="282"/>
      <c r="E137" s="282"/>
      <c r="F137" s="282"/>
      <c r="G137" s="282"/>
    </row>
    <row r="138" spans="1:7" ht="18" customHeight="1" x14ac:dyDescent="0.3">
      <c r="A138" s="9" t="s">
        <v>145</v>
      </c>
      <c r="B138" s="10">
        <v>851</v>
      </c>
    </row>
    <row r="139" spans="1:7" x14ac:dyDescent="0.25">
      <c r="A139" s="11"/>
    </row>
    <row r="140" spans="1:7" ht="18" customHeight="1" x14ac:dyDescent="0.25">
      <c r="A140" s="106" t="s">
        <v>86</v>
      </c>
      <c r="B140" s="275" t="s">
        <v>109</v>
      </c>
      <c r="C140" s="275"/>
      <c r="D140" s="275" t="s">
        <v>110</v>
      </c>
      <c r="E140" s="275"/>
      <c r="F140" s="275" t="s">
        <v>111</v>
      </c>
      <c r="G140" s="275"/>
    </row>
    <row r="141" spans="1:7" ht="18" customHeight="1" x14ac:dyDescent="0.25">
      <c r="A141" s="106">
        <v>1</v>
      </c>
      <c r="B141" s="257">
        <v>2</v>
      </c>
      <c r="C141" s="258"/>
      <c r="D141" s="287">
        <v>3</v>
      </c>
      <c r="E141" s="288"/>
      <c r="F141" s="287">
        <v>4</v>
      </c>
      <c r="G141" s="288"/>
    </row>
    <row r="142" spans="1:7" ht="18.75" x14ac:dyDescent="0.25">
      <c r="A142" s="13" t="s">
        <v>112</v>
      </c>
      <c r="B142" s="255">
        <v>811739347.27999997</v>
      </c>
      <c r="C142" s="256"/>
      <c r="D142" s="255">
        <v>2.2000000000000002</v>
      </c>
      <c r="E142" s="256"/>
      <c r="F142" s="277">
        <f>'гос.задание на 2023-2024 год '!D73</f>
        <v>19861943.379999999</v>
      </c>
      <c r="G142" s="278"/>
    </row>
    <row r="143" spans="1:7" ht="18.75" x14ac:dyDescent="0.25">
      <c r="A143" s="13" t="s">
        <v>113</v>
      </c>
      <c r="B143" s="255">
        <v>133578515.93000001</v>
      </c>
      <c r="C143" s="256"/>
      <c r="D143" s="255">
        <v>1.5</v>
      </c>
      <c r="E143" s="256"/>
      <c r="F143" s="279"/>
      <c r="G143" s="280"/>
    </row>
    <row r="144" spans="1:7" ht="18" customHeight="1" x14ac:dyDescent="0.25">
      <c r="A144" s="15"/>
      <c r="B144" s="16"/>
      <c r="C144" s="19"/>
      <c r="D144" s="20"/>
      <c r="E144" s="21"/>
      <c r="F144" s="21"/>
      <c r="G144" s="21"/>
    </row>
    <row r="145" spans="1:7" ht="18" customHeight="1" x14ac:dyDescent="0.25">
      <c r="A145" s="9" t="s">
        <v>114</v>
      </c>
    </row>
    <row r="146" spans="1:7" ht="18" customHeight="1" x14ac:dyDescent="0.25">
      <c r="A146" s="11"/>
    </row>
    <row r="147" spans="1:7" ht="18" customHeight="1" x14ac:dyDescent="0.25">
      <c r="A147" s="106" t="s">
        <v>86</v>
      </c>
      <c r="B147" s="275" t="s">
        <v>109</v>
      </c>
      <c r="C147" s="275"/>
      <c r="D147" s="275" t="s">
        <v>110</v>
      </c>
      <c r="E147" s="275"/>
      <c r="F147" s="275" t="s">
        <v>115</v>
      </c>
      <c r="G147" s="275"/>
    </row>
    <row r="148" spans="1:7" ht="18" customHeight="1" x14ac:dyDescent="0.3">
      <c r="A148" s="106">
        <v>1</v>
      </c>
      <c r="B148" s="257">
        <v>2</v>
      </c>
      <c r="C148" s="258"/>
      <c r="D148" s="257">
        <v>3</v>
      </c>
      <c r="E148" s="258"/>
      <c r="F148" s="248">
        <v>4</v>
      </c>
      <c r="G148" s="249"/>
    </row>
    <row r="149" spans="1:7" ht="18.75" x14ac:dyDescent="0.25">
      <c r="A149" s="13" t="s">
        <v>116</v>
      </c>
      <c r="B149" s="257" t="s">
        <v>117</v>
      </c>
      <c r="C149" s="258"/>
      <c r="D149" s="257" t="s">
        <v>117</v>
      </c>
      <c r="E149" s="258"/>
      <c r="F149" s="299">
        <f>'гос.задание на 2023-2024 год '!D74</f>
        <v>51650</v>
      </c>
      <c r="G149" s="301"/>
    </row>
    <row r="150" spans="1:7" ht="18" customHeight="1" x14ac:dyDescent="0.25">
      <c r="A150" s="9"/>
    </row>
    <row r="151" spans="1:7" ht="18" customHeight="1" x14ac:dyDescent="0.25">
      <c r="A151" s="9" t="s">
        <v>119</v>
      </c>
    </row>
    <row r="152" spans="1:7" x14ac:dyDescent="0.25">
      <c r="A152" s="11"/>
    </row>
    <row r="153" spans="1:7" ht="41.45" customHeight="1" x14ac:dyDescent="0.25">
      <c r="A153" s="106" t="s">
        <v>86</v>
      </c>
      <c r="B153" s="275" t="s">
        <v>109</v>
      </c>
      <c r="C153" s="275"/>
      <c r="D153" s="275" t="s">
        <v>110</v>
      </c>
      <c r="E153" s="275"/>
      <c r="F153" s="275" t="s">
        <v>115</v>
      </c>
      <c r="G153" s="275"/>
    </row>
    <row r="154" spans="1:7" ht="18.75" x14ac:dyDescent="0.3">
      <c r="A154" s="106">
        <v>1</v>
      </c>
      <c r="B154" s="257">
        <v>2</v>
      </c>
      <c r="C154" s="258"/>
      <c r="D154" s="257">
        <v>3</v>
      </c>
      <c r="E154" s="258"/>
      <c r="F154" s="248">
        <v>4</v>
      </c>
      <c r="G154" s="249"/>
    </row>
    <row r="155" spans="1:7" ht="37.5" x14ac:dyDescent="0.25">
      <c r="A155" s="13" t="s">
        <v>155</v>
      </c>
      <c r="B155" s="257" t="s">
        <v>117</v>
      </c>
      <c r="C155" s="258"/>
      <c r="D155" s="257" t="s">
        <v>117</v>
      </c>
      <c r="E155" s="258"/>
      <c r="F155" s="299">
        <f>'гос.задание на 2023-2024 год '!D75</f>
        <v>1300</v>
      </c>
      <c r="G155" s="300"/>
    </row>
    <row r="156" spans="1:7" ht="18.75" x14ac:dyDescent="0.25">
      <c r="A156" s="8"/>
    </row>
    <row r="157" spans="1:7" ht="18.75" x14ac:dyDescent="0.25">
      <c r="A157" s="274" t="s">
        <v>216</v>
      </c>
      <c r="B157" s="274"/>
      <c r="C157" s="274"/>
      <c r="D157" s="274"/>
      <c r="E157" s="274"/>
      <c r="F157" s="274"/>
      <c r="G157" s="274"/>
    </row>
    <row r="158" spans="1:7" ht="18.75" x14ac:dyDescent="0.25">
      <c r="A158" s="9"/>
    </row>
    <row r="159" spans="1:7" ht="18.75" x14ac:dyDescent="0.3">
      <c r="A159" s="9" t="s">
        <v>145</v>
      </c>
      <c r="B159" s="10">
        <v>244</v>
      </c>
    </row>
    <row r="160" spans="1:7" ht="18.75" x14ac:dyDescent="0.25">
      <c r="A160" s="8"/>
    </row>
    <row r="161" spans="1:7" ht="39.75" customHeight="1" x14ac:dyDescent="0.25">
      <c r="A161" s="169" t="s">
        <v>86</v>
      </c>
      <c r="B161" s="275" t="s">
        <v>121</v>
      </c>
      <c r="C161" s="275"/>
      <c r="D161" s="275" t="s">
        <v>122</v>
      </c>
      <c r="E161" s="275"/>
      <c r="F161" s="275" t="s">
        <v>186</v>
      </c>
      <c r="G161" s="275"/>
    </row>
    <row r="162" spans="1:7" ht="18.75" x14ac:dyDescent="0.25">
      <c r="A162" s="169">
        <v>1</v>
      </c>
      <c r="B162" s="257">
        <v>2</v>
      </c>
      <c r="C162" s="258"/>
      <c r="D162" s="257">
        <v>3</v>
      </c>
      <c r="E162" s="258"/>
      <c r="F162" s="287">
        <v>4</v>
      </c>
      <c r="G162" s="288"/>
    </row>
    <row r="163" spans="1:7" ht="37.5" x14ac:dyDescent="0.25">
      <c r="A163" s="13" t="s">
        <v>371</v>
      </c>
      <c r="B163" s="257">
        <v>7</v>
      </c>
      <c r="C163" s="258"/>
      <c r="D163" s="255">
        <v>1000</v>
      </c>
      <c r="E163" s="256"/>
      <c r="F163" s="255">
        <f>B163*D163*12</f>
        <v>84000</v>
      </c>
      <c r="G163" s="256"/>
    </row>
    <row r="164" spans="1:7" ht="18.75" x14ac:dyDescent="0.25">
      <c r="A164" s="13" t="s">
        <v>372</v>
      </c>
      <c r="B164" s="257">
        <v>6</v>
      </c>
      <c r="C164" s="258"/>
      <c r="D164" s="255">
        <v>1000</v>
      </c>
      <c r="E164" s="256"/>
      <c r="F164" s="255">
        <f>B164*D164*12</f>
        <v>72000</v>
      </c>
      <c r="G164" s="256"/>
    </row>
    <row r="165" spans="1:7" ht="18.75" x14ac:dyDescent="0.25">
      <c r="A165" s="13" t="s">
        <v>428</v>
      </c>
      <c r="B165" s="257" t="s">
        <v>117</v>
      </c>
      <c r="C165" s="258"/>
      <c r="D165" s="257" t="s">
        <v>117</v>
      </c>
      <c r="E165" s="258"/>
      <c r="F165" s="255">
        <v>2000</v>
      </c>
      <c r="G165" s="256"/>
    </row>
    <row r="166" spans="1:7" ht="18.75" customHeight="1" x14ac:dyDescent="0.25">
      <c r="A166" s="13" t="s">
        <v>424</v>
      </c>
      <c r="B166" s="257" t="s">
        <v>117</v>
      </c>
      <c r="C166" s="258"/>
      <c r="D166" s="257" t="s">
        <v>117</v>
      </c>
      <c r="E166" s="258"/>
      <c r="F166" s="255">
        <v>2040</v>
      </c>
      <c r="G166" s="256"/>
    </row>
    <row r="167" spans="1:7" ht="18.75" customHeight="1" x14ac:dyDescent="0.25">
      <c r="A167" s="13" t="s">
        <v>373</v>
      </c>
      <c r="B167" s="257" t="s">
        <v>274</v>
      </c>
      <c r="C167" s="258"/>
      <c r="D167" s="255">
        <v>92350</v>
      </c>
      <c r="E167" s="256"/>
      <c r="F167" s="255">
        <f>D167*12</f>
        <v>1108200</v>
      </c>
      <c r="G167" s="256"/>
    </row>
    <row r="168" spans="1:7" ht="18.75" x14ac:dyDescent="0.25">
      <c r="A168" s="13" t="s">
        <v>374</v>
      </c>
      <c r="B168" s="257" t="s">
        <v>274</v>
      </c>
      <c r="C168" s="258"/>
      <c r="D168" s="255">
        <v>92450</v>
      </c>
      <c r="E168" s="256"/>
      <c r="F168" s="255">
        <f>D168*12</f>
        <v>1109400</v>
      </c>
      <c r="G168" s="256"/>
    </row>
    <row r="169" spans="1:7" ht="18.75" x14ac:dyDescent="0.25">
      <c r="A169" s="13" t="s">
        <v>344</v>
      </c>
      <c r="B169" s="287"/>
      <c r="C169" s="288"/>
      <c r="D169" s="287"/>
      <c r="E169" s="288"/>
      <c r="F169" s="255">
        <f>'гос.задание на 2023-2024 год '!D34</f>
        <v>2377640</v>
      </c>
      <c r="G169" s="256"/>
    </row>
    <row r="170" spans="1:7" ht="18.75" x14ac:dyDescent="0.25">
      <c r="A170" s="15"/>
      <c r="B170" s="16"/>
      <c r="C170" s="16"/>
      <c r="D170" s="16"/>
      <c r="E170" s="16"/>
      <c r="F170" s="82"/>
      <c r="G170" s="82"/>
    </row>
    <row r="171" spans="1:7" ht="18.75" x14ac:dyDescent="0.25">
      <c r="A171" s="274" t="s">
        <v>218</v>
      </c>
      <c r="B171" s="274"/>
      <c r="C171" s="274"/>
      <c r="D171" s="274"/>
      <c r="E171" s="274"/>
      <c r="F171" s="274"/>
      <c r="G171" s="274"/>
    </row>
    <row r="172" spans="1:7" ht="18.75" x14ac:dyDescent="0.25">
      <c r="A172" s="9"/>
    </row>
    <row r="173" spans="1:7" ht="18.75" x14ac:dyDescent="0.3">
      <c r="A173" s="9" t="s">
        <v>145</v>
      </c>
      <c r="B173" s="10">
        <v>244.24700000000001</v>
      </c>
    </row>
    <row r="174" spans="1:7" ht="18.75" x14ac:dyDescent="0.25">
      <c r="A174" s="8"/>
    </row>
    <row r="175" spans="1:7" ht="39" customHeight="1" x14ac:dyDescent="0.25">
      <c r="A175" s="106" t="s">
        <v>86</v>
      </c>
      <c r="B175" s="275" t="s">
        <v>126</v>
      </c>
      <c r="C175" s="275"/>
      <c r="D175" s="275" t="s">
        <v>127</v>
      </c>
      <c r="E175" s="275"/>
      <c r="F175" s="275" t="s">
        <v>94</v>
      </c>
      <c r="G175" s="275"/>
    </row>
    <row r="176" spans="1:7" ht="18.75" x14ac:dyDescent="0.25">
      <c r="A176" s="106">
        <v>1</v>
      </c>
      <c r="B176" s="257">
        <v>2</v>
      </c>
      <c r="C176" s="258"/>
      <c r="D176" s="257">
        <v>3</v>
      </c>
      <c r="E176" s="258"/>
      <c r="F176" s="257">
        <v>4</v>
      </c>
      <c r="G176" s="258"/>
    </row>
    <row r="177" spans="1:7" ht="37.5" x14ac:dyDescent="0.25">
      <c r="A177" s="13" t="s">
        <v>18</v>
      </c>
      <c r="B177" s="257" t="s">
        <v>117</v>
      </c>
      <c r="C177" s="258"/>
      <c r="D177" s="257" t="s">
        <v>117</v>
      </c>
      <c r="E177" s="258"/>
      <c r="F177" s="255">
        <f>'гос.задание на 2023-2024 год '!D41</f>
        <v>0</v>
      </c>
      <c r="G177" s="256"/>
    </row>
    <row r="178" spans="1:7" ht="37.5" x14ac:dyDescent="0.25">
      <c r="A178" s="13" t="s">
        <v>391</v>
      </c>
      <c r="B178" s="257" t="s">
        <v>393</v>
      </c>
      <c r="C178" s="258"/>
      <c r="D178" s="257">
        <v>6119.41</v>
      </c>
      <c r="E178" s="258"/>
      <c r="F178" s="277">
        <f>'гос.задание на 2023-2024 год '!D43</f>
        <v>3626465.69</v>
      </c>
      <c r="G178" s="278"/>
    </row>
    <row r="179" spans="1:7" ht="37.5" x14ac:dyDescent="0.25">
      <c r="A179" s="13" t="s">
        <v>392</v>
      </c>
      <c r="B179" s="257" t="s">
        <v>425</v>
      </c>
      <c r="C179" s="258"/>
      <c r="D179" s="257">
        <v>7.34</v>
      </c>
      <c r="E179" s="258"/>
      <c r="F179" s="279"/>
      <c r="G179" s="280"/>
    </row>
    <row r="180" spans="1:7" ht="56.25" x14ac:dyDescent="0.25">
      <c r="A180" s="13" t="s">
        <v>375</v>
      </c>
      <c r="B180" s="257" t="s">
        <v>394</v>
      </c>
      <c r="C180" s="258"/>
      <c r="D180" s="257">
        <v>5.46</v>
      </c>
      <c r="E180" s="258"/>
      <c r="F180" s="277">
        <f>'гос.задание на 2023-2024 год '!D45</f>
        <v>25316126.350000001</v>
      </c>
      <c r="G180" s="278"/>
    </row>
    <row r="181" spans="1:7" ht="56.25" x14ac:dyDescent="0.25">
      <c r="A181" s="13" t="s">
        <v>376</v>
      </c>
      <c r="B181" s="257" t="s">
        <v>426</v>
      </c>
      <c r="C181" s="258"/>
      <c r="D181" s="257">
        <v>1127.17</v>
      </c>
      <c r="E181" s="258"/>
      <c r="F181" s="279"/>
      <c r="G181" s="280"/>
    </row>
    <row r="182" spans="1:7" ht="56.25" x14ac:dyDescent="0.25">
      <c r="A182" s="13" t="s">
        <v>378</v>
      </c>
      <c r="B182" s="257" t="s">
        <v>395</v>
      </c>
      <c r="C182" s="258"/>
      <c r="D182" s="257">
        <v>64.430000000000007</v>
      </c>
      <c r="E182" s="258"/>
      <c r="F182" s="277">
        <f>'гос.задание на 2023-2024 год '!D46</f>
        <v>6574816.25</v>
      </c>
      <c r="G182" s="278"/>
    </row>
    <row r="183" spans="1:7" ht="56.25" x14ac:dyDescent="0.25">
      <c r="A183" s="13" t="s">
        <v>379</v>
      </c>
      <c r="B183" s="257" t="s">
        <v>427</v>
      </c>
      <c r="C183" s="258"/>
      <c r="D183" s="257">
        <v>100.33</v>
      </c>
      <c r="E183" s="258"/>
      <c r="F183" s="279"/>
      <c r="G183" s="280"/>
    </row>
    <row r="184" spans="1:7" ht="37.5" x14ac:dyDescent="0.25">
      <c r="A184" s="24" t="s">
        <v>380</v>
      </c>
      <c r="B184" s="257" t="s">
        <v>396</v>
      </c>
      <c r="C184" s="258"/>
      <c r="D184" s="257">
        <v>702.49</v>
      </c>
      <c r="E184" s="258"/>
      <c r="F184" s="277">
        <f>'гос.задание на 2023-2024 год '!D47</f>
        <v>596554.87</v>
      </c>
      <c r="G184" s="278"/>
    </row>
    <row r="185" spans="1:7" ht="37.5" x14ac:dyDescent="0.25">
      <c r="A185" s="24" t="s">
        <v>381</v>
      </c>
      <c r="B185" s="257" t="s">
        <v>417</v>
      </c>
      <c r="C185" s="258"/>
      <c r="D185" s="257">
        <v>668.99</v>
      </c>
      <c r="E185" s="258"/>
      <c r="F185" s="279"/>
      <c r="G185" s="280"/>
    </row>
    <row r="186" spans="1:7" ht="18.75" x14ac:dyDescent="0.25">
      <c r="A186" s="24" t="s">
        <v>146</v>
      </c>
      <c r="B186" s="257"/>
      <c r="C186" s="258"/>
      <c r="D186" s="257"/>
      <c r="E186" s="258"/>
      <c r="F186" s="255">
        <f>F177+F178+F180+F182+F184</f>
        <v>36113963.160000004</v>
      </c>
      <c r="G186" s="256"/>
    </row>
    <row r="187" spans="1:7" ht="18.75" x14ac:dyDescent="0.25">
      <c r="A187" s="27"/>
      <c r="B187" s="26"/>
      <c r="C187" s="26"/>
      <c r="D187" s="26"/>
      <c r="E187" s="26"/>
      <c r="F187" s="26"/>
      <c r="G187" s="26"/>
    </row>
    <row r="188" spans="1:7" ht="18.75" customHeight="1" x14ac:dyDescent="0.25">
      <c r="A188" s="276" t="s">
        <v>220</v>
      </c>
      <c r="B188" s="276"/>
      <c r="C188" s="276"/>
      <c r="D188" s="276"/>
      <c r="E188" s="276"/>
      <c r="F188" s="276"/>
      <c r="G188" s="276"/>
    </row>
    <row r="189" spans="1:7" ht="18.75" x14ac:dyDescent="0.25">
      <c r="A189" s="9"/>
    </row>
    <row r="190" spans="1:7" ht="18.75" x14ac:dyDescent="0.3">
      <c r="A190" s="9" t="s">
        <v>145</v>
      </c>
      <c r="B190" s="10">
        <v>244</v>
      </c>
    </row>
    <row r="191" spans="1:7" ht="18.75" x14ac:dyDescent="0.25">
      <c r="A191" s="8"/>
    </row>
    <row r="192" spans="1:7" ht="18.75" x14ac:dyDescent="0.25">
      <c r="A192" s="257" t="s">
        <v>86</v>
      </c>
      <c r="B192" s="286"/>
      <c r="C192" s="258"/>
      <c r="D192" s="275" t="s">
        <v>131</v>
      </c>
      <c r="E192" s="275"/>
      <c r="F192" s="275" t="s">
        <v>132</v>
      </c>
      <c r="G192" s="275"/>
    </row>
    <row r="193" spans="1:7" ht="18.75" x14ac:dyDescent="0.3">
      <c r="A193" s="257">
        <v>1</v>
      </c>
      <c r="B193" s="286"/>
      <c r="C193" s="258"/>
      <c r="D193" s="248">
        <v>2</v>
      </c>
      <c r="E193" s="249"/>
      <c r="F193" s="248">
        <v>3</v>
      </c>
      <c r="G193" s="249"/>
    </row>
    <row r="194" spans="1:7" ht="18.75" x14ac:dyDescent="0.3">
      <c r="A194" s="252" t="s">
        <v>382</v>
      </c>
      <c r="B194" s="253"/>
      <c r="C194" s="254"/>
      <c r="D194" s="248"/>
      <c r="E194" s="249"/>
      <c r="F194" s="265"/>
      <c r="G194" s="267"/>
    </row>
    <row r="195" spans="1:7" ht="18.75" customHeight="1" x14ac:dyDescent="0.3">
      <c r="A195" s="252" t="s">
        <v>275</v>
      </c>
      <c r="B195" s="253"/>
      <c r="C195" s="254"/>
      <c r="D195" s="248">
        <v>12</v>
      </c>
      <c r="E195" s="249"/>
      <c r="F195" s="265">
        <f>258945</f>
        <v>258945</v>
      </c>
      <c r="G195" s="267"/>
    </row>
    <row r="196" spans="1:7" ht="18.75" customHeight="1" x14ac:dyDescent="0.3">
      <c r="A196" s="252" t="s">
        <v>276</v>
      </c>
      <c r="B196" s="253"/>
      <c r="C196" s="254"/>
      <c r="D196" s="248">
        <v>12</v>
      </c>
      <c r="E196" s="249"/>
      <c r="F196" s="265">
        <f>34500*12</f>
        <v>414000</v>
      </c>
      <c r="G196" s="267"/>
    </row>
    <row r="197" spans="1:7" ht="18.75" customHeight="1" x14ac:dyDescent="0.3">
      <c r="A197" s="252" t="s">
        <v>277</v>
      </c>
      <c r="B197" s="253"/>
      <c r="C197" s="254"/>
      <c r="D197" s="248">
        <v>12</v>
      </c>
      <c r="E197" s="249"/>
      <c r="F197" s="265">
        <f>144400</f>
        <v>144400</v>
      </c>
      <c r="G197" s="267"/>
    </row>
    <row r="198" spans="1:7" ht="18.75" customHeight="1" x14ac:dyDescent="0.3">
      <c r="A198" s="252" t="s">
        <v>279</v>
      </c>
      <c r="B198" s="253"/>
      <c r="C198" s="254"/>
      <c r="D198" s="248">
        <v>12</v>
      </c>
      <c r="E198" s="249"/>
      <c r="F198" s="265">
        <f>265454.52</f>
        <v>265454.52</v>
      </c>
      <c r="G198" s="267"/>
    </row>
    <row r="199" spans="1:7" ht="18.75" x14ac:dyDescent="0.3">
      <c r="A199" s="252" t="s">
        <v>278</v>
      </c>
      <c r="B199" s="253"/>
      <c r="C199" s="254"/>
      <c r="D199" s="248">
        <v>7</v>
      </c>
      <c r="E199" s="249"/>
      <c r="F199" s="265">
        <f>69580</f>
        <v>69580</v>
      </c>
      <c r="G199" s="267"/>
    </row>
    <row r="200" spans="1:7" ht="18.75" customHeight="1" x14ac:dyDescent="0.3">
      <c r="A200" s="252" t="s">
        <v>280</v>
      </c>
      <c r="B200" s="253"/>
      <c r="C200" s="254"/>
      <c r="D200" s="248">
        <v>12</v>
      </c>
      <c r="E200" s="249"/>
      <c r="F200" s="265">
        <f>4457.75</f>
        <v>4457.75</v>
      </c>
      <c r="G200" s="267"/>
    </row>
    <row r="201" spans="1:7" ht="18.75" customHeight="1" x14ac:dyDescent="0.3">
      <c r="A201" s="252" t="s">
        <v>281</v>
      </c>
      <c r="B201" s="253"/>
      <c r="C201" s="254"/>
      <c r="D201" s="248">
        <v>12</v>
      </c>
      <c r="E201" s="249"/>
      <c r="F201" s="265">
        <f>18700</f>
        <v>18700</v>
      </c>
      <c r="G201" s="267"/>
    </row>
    <row r="202" spans="1:7" ht="38.25" customHeight="1" x14ac:dyDescent="0.3">
      <c r="A202" s="252" t="s">
        <v>282</v>
      </c>
      <c r="B202" s="253"/>
      <c r="C202" s="254"/>
      <c r="D202" s="248">
        <v>12</v>
      </c>
      <c r="E202" s="249"/>
      <c r="F202" s="265">
        <f>180000</f>
        <v>180000</v>
      </c>
      <c r="G202" s="267"/>
    </row>
    <row r="203" spans="1:7" ht="18.75" customHeight="1" x14ac:dyDescent="0.3">
      <c r="A203" s="252" t="s">
        <v>283</v>
      </c>
      <c r="B203" s="253"/>
      <c r="C203" s="254"/>
      <c r="D203" s="248">
        <v>12</v>
      </c>
      <c r="E203" s="249"/>
      <c r="F203" s="265">
        <f>330909.12</f>
        <v>330909.12</v>
      </c>
      <c r="G203" s="267"/>
    </row>
    <row r="204" spans="1:7" ht="18.75" customHeight="1" x14ac:dyDescent="0.3">
      <c r="A204" s="252" t="s">
        <v>284</v>
      </c>
      <c r="B204" s="253"/>
      <c r="C204" s="254"/>
      <c r="D204" s="248">
        <v>12</v>
      </c>
      <c r="E204" s="249"/>
      <c r="F204" s="265">
        <f>6000</f>
        <v>6000</v>
      </c>
      <c r="G204" s="267"/>
    </row>
    <row r="205" spans="1:7" ht="37.5" customHeight="1" x14ac:dyDescent="0.3">
      <c r="A205" s="252" t="s">
        <v>136</v>
      </c>
      <c r="B205" s="253"/>
      <c r="C205" s="254"/>
      <c r="D205" s="248">
        <v>2</v>
      </c>
      <c r="E205" s="249"/>
      <c r="F205" s="265">
        <v>50000</v>
      </c>
      <c r="G205" s="267"/>
    </row>
    <row r="206" spans="1:7" ht="18.75" customHeight="1" x14ac:dyDescent="0.3">
      <c r="A206" s="252" t="s">
        <v>285</v>
      </c>
      <c r="B206" s="253"/>
      <c r="C206" s="254"/>
      <c r="D206" s="248">
        <v>12</v>
      </c>
      <c r="E206" s="249"/>
      <c r="F206" s="265">
        <f>7200</f>
        <v>7200</v>
      </c>
      <c r="G206" s="267"/>
    </row>
    <row r="207" spans="1:7" ht="18.75" customHeight="1" x14ac:dyDescent="0.3">
      <c r="A207" s="252" t="s">
        <v>384</v>
      </c>
      <c r="B207" s="253"/>
      <c r="C207" s="254"/>
      <c r="D207" s="248">
        <v>12</v>
      </c>
      <c r="E207" s="249"/>
      <c r="F207" s="265">
        <v>95440</v>
      </c>
      <c r="G207" s="267"/>
    </row>
    <row r="208" spans="1:7" ht="18.75" customHeight="1" x14ac:dyDescent="0.3">
      <c r="A208" s="252" t="s">
        <v>385</v>
      </c>
      <c r="B208" s="253"/>
      <c r="C208" s="254"/>
      <c r="D208" s="248">
        <v>1</v>
      </c>
      <c r="E208" s="249"/>
      <c r="F208" s="265">
        <v>917800</v>
      </c>
      <c r="G208" s="267"/>
    </row>
    <row r="209" spans="1:7" ht="18.75" x14ac:dyDescent="0.3">
      <c r="A209" s="252" t="s">
        <v>291</v>
      </c>
      <c r="B209" s="253"/>
      <c r="C209" s="254"/>
      <c r="D209" s="248">
        <v>1</v>
      </c>
      <c r="E209" s="249"/>
      <c r="F209" s="265">
        <f>569060.67</f>
        <v>569060.67000000004</v>
      </c>
      <c r="G209" s="267"/>
    </row>
    <row r="210" spans="1:7" ht="18.75" customHeight="1" x14ac:dyDescent="0.3">
      <c r="A210" s="252" t="s">
        <v>286</v>
      </c>
      <c r="B210" s="253"/>
      <c r="C210" s="254"/>
      <c r="D210" s="248">
        <v>12</v>
      </c>
      <c r="E210" s="249"/>
      <c r="F210" s="265">
        <v>3922723.81</v>
      </c>
      <c r="G210" s="267"/>
    </row>
    <row r="211" spans="1:7" ht="18.75" customHeight="1" x14ac:dyDescent="0.3">
      <c r="A211" s="252" t="s">
        <v>287</v>
      </c>
      <c r="B211" s="253"/>
      <c r="C211" s="254"/>
      <c r="D211" s="248">
        <v>12</v>
      </c>
      <c r="E211" s="249"/>
      <c r="F211" s="265">
        <v>859297.46</v>
      </c>
      <c r="G211" s="267"/>
    </row>
    <row r="212" spans="1:7" ht="18.75" customHeight="1" x14ac:dyDescent="0.3">
      <c r="A212" s="252" t="s">
        <v>348</v>
      </c>
      <c r="B212" s="253"/>
      <c r="C212" s="254"/>
      <c r="D212" s="248">
        <v>12</v>
      </c>
      <c r="E212" s="249"/>
      <c r="F212" s="265">
        <v>7933758.6399999997</v>
      </c>
      <c r="G212" s="267"/>
    </row>
    <row r="213" spans="1:7" ht="18.75" customHeight="1" x14ac:dyDescent="0.3">
      <c r="A213" s="252" t="s">
        <v>349</v>
      </c>
      <c r="B213" s="253"/>
      <c r="C213" s="254"/>
      <c r="D213" s="248">
        <v>12</v>
      </c>
      <c r="E213" s="249"/>
      <c r="F213" s="265">
        <v>75000</v>
      </c>
      <c r="G213" s="267"/>
    </row>
    <row r="214" spans="1:7" ht="18.75" customHeight="1" x14ac:dyDescent="0.3">
      <c r="A214" s="252" t="s">
        <v>386</v>
      </c>
      <c r="B214" s="253"/>
      <c r="C214" s="254"/>
      <c r="D214" s="248">
        <v>12</v>
      </c>
      <c r="E214" s="249"/>
      <c r="F214" s="265">
        <v>1314000</v>
      </c>
      <c r="G214" s="267"/>
    </row>
    <row r="215" spans="1:7" ht="18.75" x14ac:dyDescent="0.3">
      <c r="A215" s="252" t="s">
        <v>288</v>
      </c>
      <c r="B215" s="253"/>
      <c r="C215" s="254"/>
      <c r="D215" s="248">
        <v>12</v>
      </c>
      <c r="E215" s="249"/>
      <c r="F215" s="265">
        <v>700</v>
      </c>
      <c r="G215" s="267"/>
    </row>
    <row r="216" spans="1:7" ht="18.75" customHeight="1" x14ac:dyDescent="0.3">
      <c r="A216" s="252" t="s">
        <v>289</v>
      </c>
      <c r="B216" s="253"/>
      <c r="C216" s="254"/>
      <c r="D216" s="248">
        <v>5</v>
      </c>
      <c r="E216" s="249"/>
      <c r="F216" s="265">
        <f>400000</f>
        <v>400000</v>
      </c>
      <c r="G216" s="267"/>
    </row>
    <row r="217" spans="1:7" ht="18.75" x14ac:dyDescent="0.3">
      <c r="A217" s="252" t="s">
        <v>290</v>
      </c>
      <c r="B217" s="253"/>
      <c r="C217" s="254"/>
      <c r="D217" s="248">
        <v>1</v>
      </c>
      <c r="E217" s="249"/>
      <c r="F217" s="265">
        <v>2609404.16</v>
      </c>
      <c r="G217" s="267"/>
    </row>
    <row r="218" spans="1:7" ht="18.75" customHeight="1" x14ac:dyDescent="0.3">
      <c r="A218" s="252" t="s">
        <v>383</v>
      </c>
      <c r="B218" s="253"/>
      <c r="C218" s="254"/>
      <c r="D218" s="248"/>
      <c r="E218" s="249"/>
      <c r="F218" s="265"/>
      <c r="G218" s="267"/>
    </row>
    <row r="219" spans="1:7" ht="18.75" customHeight="1" x14ac:dyDescent="0.3">
      <c r="A219" s="252" t="s">
        <v>399</v>
      </c>
      <c r="B219" s="253"/>
      <c r="C219" s="254"/>
      <c r="D219" s="248">
        <v>12</v>
      </c>
      <c r="E219" s="249"/>
      <c r="F219" s="265">
        <v>644544</v>
      </c>
      <c r="G219" s="267"/>
    </row>
    <row r="220" spans="1:7" ht="18.75" customHeight="1" x14ac:dyDescent="0.3">
      <c r="A220" s="252" t="s">
        <v>400</v>
      </c>
      <c r="B220" s="253"/>
      <c r="C220" s="254"/>
      <c r="D220" s="248">
        <v>12</v>
      </c>
      <c r="E220" s="249"/>
      <c r="F220" s="265">
        <v>217898.84159999999</v>
      </c>
      <c r="G220" s="267"/>
    </row>
    <row r="221" spans="1:7" ht="18.75" customHeight="1" x14ac:dyDescent="0.3">
      <c r="A221" s="252" t="s">
        <v>401</v>
      </c>
      <c r="B221" s="253"/>
      <c r="C221" s="254"/>
      <c r="D221" s="248">
        <v>12</v>
      </c>
      <c r="E221" s="249"/>
      <c r="F221" s="265">
        <v>303329.56799999997</v>
      </c>
      <c r="G221" s="267"/>
    </row>
    <row r="222" spans="1:7" ht="18.75" customHeight="1" x14ac:dyDescent="0.3">
      <c r="A222" s="252" t="s">
        <v>402</v>
      </c>
      <c r="B222" s="253"/>
      <c r="C222" s="254"/>
      <c r="D222" s="248">
        <v>12</v>
      </c>
      <c r="E222" s="249"/>
      <c r="F222" s="265">
        <v>577146.18240000005</v>
      </c>
      <c r="G222" s="267"/>
    </row>
    <row r="223" spans="1:7" ht="18.75" customHeight="1" x14ac:dyDescent="0.3">
      <c r="A223" s="252" t="s">
        <v>403</v>
      </c>
      <c r="B223" s="253"/>
      <c r="C223" s="254"/>
      <c r="D223" s="248">
        <v>12</v>
      </c>
      <c r="E223" s="249"/>
      <c r="F223" s="265">
        <v>118689.19680000001</v>
      </c>
      <c r="G223" s="267"/>
    </row>
    <row r="224" spans="1:7" ht="18.75" customHeight="1" x14ac:dyDescent="0.3">
      <c r="A224" s="252" t="s">
        <v>404</v>
      </c>
      <c r="B224" s="253"/>
      <c r="C224" s="254"/>
      <c r="D224" s="248">
        <v>12</v>
      </c>
      <c r="E224" s="249"/>
      <c r="F224" s="265">
        <v>1339219.2</v>
      </c>
      <c r="G224" s="267"/>
    </row>
    <row r="225" spans="1:7" ht="18.75" customHeight="1" x14ac:dyDescent="0.3">
      <c r="A225" s="252" t="s">
        <v>405</v>
      </c>
      <c r="B225" s="253"/>
      <c r="C225" s="254"/>
      <c r="D225" s="248">
        <v>12</v>
      </c>
      <c r="E225" s="249"/>
      <c r="F225" s="265">
        <v>121747.2</v>
      </c>
      <c r="G225" s="267"/>
    </row>
    <row r="226" spans="1:7" ht="18.75" customHeight="1" x14ac:dyDescent="0.3">
      <c r="A226" s="252" t="s">
        <v>406</v>
      </c>
      <c r="B226" s="253"/>
      <c r="C226" s="254"/>
      <c r="D226" s="248">
        <v>12</v>
      </c>
      <c r="E226" s="249"/>
      <c r="F226" s="265">
        <v>48698.879999999997</v>
      </c>
      <c r="G226" s="267"/>
    </row>
    <row r="227" spans="1:7" ht="18.75" customHeight="1" x14ac:dyDescent="0.3">
      <c r="A227" s="252" t="s">
        <v>407</v>
      </c>
      <c r="B227" s="253"/>
      <c r="C227" s="254"/>
      <c r="D227" s="248">
        <v>12</v>
      </c>
      <c r="E227" s="249"/>
      <c r="F227" s="265">
        <v>71616</v>
      </c>
      <c r="G227" s="267"/>
    </row>
    <row r="228" spans="1:7" ht="18.75" x14ac:dyDescent="0.3">
      <c r="A228" s="252" t="s">
        <v>408</v>
      </c>
      <c r="B228" s="253"/>
      <c r="C228" s="254"/>
      <c r="D228" s="248">
        <v>12</v>
      </c>
      <c r="E228" s="249"/>
      <c r="F228" s="265">
        <v>35627.198400000751</v>
      </c>
      <c r="G228" s="267"/>
    </row>
    <row r="229" spans="1:7" ht="18.75" customHeight="1" x14ac:dyDescent="0.3">
      <c r="A229" s="252" t="s">
        <v>286</v>
      </c>
      <c r="B229" s="253"/>
      <c r="C229" s="254"/>
      <c r="D229" s="248">
        <v>12</v>
      </c>
      <c r="E229" s="249"/>
      <c r="F229" s="265">
        <v>746000</v>
      </c>
      <c r="G229" s="267"/>
    </row>
    <row r="230" spans="1:7" ht="18.75" customHeight="1" x14ac:dyDescent="0.3">
      <c r="A230" s="252" t="s">
        <v>409</v>
      </c>
      <c r="B230" s="253"/>
      <c r="C230" s="254"/>
      <c r="D230" s="248">
        <v>12</v>
      </c>
      <c r="E230" s="249"/>
      <c r="F230" s="265">
        <v>131296</v>
      </c>
      <c r="G230" s="267"/>
    </row>
    <row r="231" spans="1:7" ht="18.75" customHeight="1" x14ac:dyDescent="0.3">
      <c r="A231" s="252" t="s">
        <v>431</v>
      </c>
      <c r="B231" s="253"/>
      <c r="C231" s="254"/>
      <c r="D231" s="248">
        <v>12</v>
      </c>
      <c r="E231" s="249"/>
      <c r="F231" s="265">
        <v>17187.84</v>
      </c>
      <c r="G231" s="267"/>
    </row>
    <row r="232" spans="1:7" ht="18.75" x14ac:dyDescent="0.3">
      <c r="A232" s="252" t="s">
        <v>410</v>
      </c>
      <c r="B232" s="253"/>
      <c r="C232" s="254"/>
      <c r="D232" s="248">
        <v>1</v>
      </c>
      <c r="E232" s="249"/>
      <c r="F232" s="265">
        <v>208880</v>
      </c>
      <c r="G232" s="267"/>
    </row>
    <row r="233" spans="1:7" ht="18.75" x14ac:dyDescent="0.3">
      <c r="A233" s="252" t="s">
        <v>412</v>
      </c>
      <c r="B233" s="253"/>
      <c r="C233" s="254"/>
      <c r="D233" s="248">
        <v>3</v>
      </c>
      <c r="E233" s="249"/>
      <c r="F233" s="265">
        <v>281.09280000000001</v>
      </c>
      <c r="G233" s="267"/>
    </row>
    <row r="234" spans="1:7" ht="37.5" customHeight="1" x14ac:dyDescent="0.3">
      <c r="A234" s="252" t="s">
        <v>432</v>
      </c>
      <c r="B234" s="253"/>
      <c r="C234" s="254"/>
      <c r="D234" s="248">
        <v>12</v>
      </c>
      <c r="E234" s="249"/>
      <c r="F234" s="265">
        <v>1417996.8</v>
      </c>
      <c r="G234" s="267"/>
    </row>
    <row r="235" spans="1:7" ht="18.75" x14ac:dyDescent="0.3">
      <c r="A235" s="252" t="s">
        <v>411</v>
      </c>
      <c r="B235" s="253"/>
      <c r="C235" s="254"/>
      <c r="D235" s="248">
        <v>12</v>
      </c>
      <c r="E235" s="249"/>
      <c r="F235" s="265">
        <v>1396512</v>
      </c>
      <c r="G235" s="267"/>
    </row>
    <row r="236" spans="1:7" ht="18.75" customHeight="1" x14ac:dyDescent="0.3">
      <c r="A236" s="252" t="s">
        <v>435</v>
      </c>
      <c r="B236" s="253"/>
      <c r="C236" s="254"/>
      <c r="D236" s="248">
        <v>12</v>
      </c>
      <c r="E236" s="249"/>
      <c r="F236" s="265">
        <v>149200</v>
      </c>
      <c r="G236" s="267"/>
    </row>
    <row r="237" spans="1:7" ht="18.75" x14ac:dyDescent="0.3">
      <c r="A237" s="252" t="s">
        <v>146</v>
      </c>
      <c r="B237" s="253"/>
      <c r="C237" s="254"/>
      <c r="D237" s="283"/>
      <c r="E237" s="284"/>
      <c r="F237" s="265">
        <f>'гос.задание на 2023-2024 год '!D52</f>
        <v>27992701.129999999</v>
      </c>
      <c r="G237" s="267"/>
    </row>
    <row r="238" spans="1:7" ht="18.75" x14ac:dyDescent="0.25">
      <c r="A238" s="29"/>
    </row>
    <row r="239" spans="1:7" ht="18.75" x14ac:dyDescent="0.25">
      <c r="A239" s="274" t="s">
        <v>221</v>
      </c>
      <c r="B239" s="274"/>
      <c r="C239" s="274"/>
      <c r="D239" s="274"/>
      <c r="E239" s="274"/>
      <c r="F239" s="274"/>
      <c r="G239" s="274"/>
    </row>
    <row r="240" spans="1:7" ht="18.75" x14ac:dyDescent="0.25">
      <c r="A240" s="9"/>
    </row>
    <row r="241" spans="1:7" ht="18.75" x14ac:dyDescent="0.3">
      <c r="A241" s="9" t="s">
        <v>145</v>
      </c>
      <c r="B241" s="10">
        <v>244</v>
      </c>
    </row>
    <row r="242" spans="1:7" ht="18.75" x14ac:dyDescent="0.25">
      <c r="A242" s="8"/>
    </row>
    <row r="243" spans="1:7" ht="18.75" x14ac:dyDescent="0.25">
      <c r="A243" s="257" t="s">
        <v>86</v>
      </c>
      <c r="B243" s="286"/>
      <c r="C243" s="258"/>
      <c r="D243" s="275" t="s">
        <v>137</v>
      </c>
      <c r="E243" s="275"/>
      <c r="F243" s="275" t="s">
        <v>138</v>
      </c>
      <c r="G243" s="275"/>
    </row>
    <row r="244" spans="1:7" ht="18.75" x14ac:dyDescent="0.3">
      <c r="A244" s="257">
        <v>1</v>
      </c>
      <c r="B244" s="286"/>
      <c r="C244" s="258"/>
      <c r="D244" s="248">
        <v>2</v>
      </c>
      <c r="E244" s="249"/>
      <c r="F244" s="248">
        <v>3</v>
      </c>
      <c r="G244" s="249"/>
    </row>
    <row r="245" spans="1:7" ht="18.75" x14ac:dyDescent="0.3">
      <c r="A245" s="252" t="s">
        <v>382</v>
      </c>
      <c r="B245" s="253"/>
      <c r="C245" s="254"/>
      <c r="D245" s="261"/>
      <c r="E245" s="262"/>
      <c r="F245" s="265"/>
      <c r="G245" s="267"/>
    </row>
    <row r="246" spans="1:7" ht="18.75" customHeight="1" x14ac:dyDescent="0.3">
      <c r="A246" s="252" t="s">
        <v>139</v>
      </c>
      <c r="B246" s="253"/>
      <c r="C246" s="254"/>
      <c r="D246" s="261">
        <v>1</v>
      </c>
      <c r="E246" s="262"/>
      <c r="F246" s="265">
        <f>120000+33816</f>
        <v>153816</v>
      </c>
      <c r="G246" s="267"/>
    </row>
    <row r="247" spans="1:7" ht="18.75" x14ac:dyDescent="0.3">
      <c r="A247" s="252" t="s">
        <v>140</v>
      </c>
      <c r="B247" s="253"/>
      <c r="C247" s="254"/>
      <c r="D247" s="261">
        <v>1</v>
      </c>
      <c r="E247" s="262"/>
      <c r="F247" s="265">
        <v>4697400</v>
      </c>
      <c r="G247" s="267"/>
    </row>
    <row r="248" spans="1:7" ht="18.75" customHeight="1" x14ac:dyDescent="0.3">
      <c r="A248" s="252" t="s">
        <v>350</v>
      </c>
      <c r="B248" s="253"/>
      <c r="C248" s="254"/>
      <c r="D248" s="261">
        <v>1</v>
      </c>
      <c r="E248" s="262"/>
      <c r="F248" s="265">
        <v>19744</v>
      </c>
      <c r="G248" s="267"/>
    </row>
    <row r="249" spans="1:7" ht="18.75" x14ac:dyDescent="0.3">
      <c r="A249" s="252" t="s">
        <v>292</v>
      </c>
      <c r="B249" s="253"/>
      <c r="C249" s="254"/>
      <c r="D249" s="261">
        <v>1</v>
      </c>
      <c r="E249" s="262"/>
      <c r="F249" s="265">
        <v>36000</v>
      </c>
      <c r="G249" s="267"/>
    </row>
    <row r="250" spans="1:7" ht="18.75" customHeight="1" x14ac:dyDescent="0.3">
      <c r="A250" s="252" t="s">
        <v>293</v>
      </c>
      <c r="B250" s="253"/>
      <c r="C250" s="254"/>
      <c r="D250" s="261">
        <v>5</v>
      </c>
      <c r="E250" s="262"/>
      <c r="F250" s="265">
        <v>45000</v>
      </c>
      <c r="G250" s="267"/>
    </row>
    <row r="251" spans="1:7" ht="18.75" x14ac:dyDescent="0.3">
      <c r="A251" s="252" t="s">
        <v>351</v>
      </c>
      <c r="B251" s="253"/>
      <c r="C251" s="254"/>
      <c r="D251" s="261">
        <v>1</v>
      </c>
      <c r="E251" s="262"/>
      <c r="F251" s="265">
        <v>45000</v>
      </c>
      <c r="G251" s="267"/>
    </row>
    <row r="252" spans="1:7" ht="18.75" customHeight="1" x14ac:dyDescent="0.3">
      <c r="A252" s="252" t="s">
        <v>294</v>
      </c>
      <c r="B252" s="253"/>
      <c r="C252" s="254"/>
      <c r="D252" s="261">
        <v>1</v>
      </c>
      <c r="E252" s="262"/>
      <c r="F252" s="265">
        <v>6000</v>
      </c>
      <c r="G252" s="267"/>
    </row>
    <row r="253" spans="1:7" ht="18.75" x14ac:dyDescent="0.3">
      <c r="A253" s="252" t="s">
        <v>295</v>
      </c>
      <c r="B253" s="253"/>
      <c r="C253" s="254"/>
      <c r="D253" s="261">
        <v>9</v>
      </c>
      <c r="E253" s="262"/>
      <c r="F253" s="265">
        <v>83001.279999999999</v>
      </c>
      <c r="G253" s="267"/>
    </row>
    <row r="254" spans="1:7" ht="18.75" customHeight="1" x14ac:dyDescent="0.3">
      <c r="A254" s="252" t="s">
        <v>352</v>
      </c>
      <c r="B254" s="253"/>
      <c r="C254" s="254"/>
      <c r="D254" s="261">
        <v>1</v>
      </c>
      <c r="E254" s="262"/>
      <c r="F254" s="265">
        <v>55000</v>
      </c>
      <c r="G254" s="267"/>
    </row>
    <row r="255" spans="1:7" ht="18.75" x14ac:dyDescent="0.3">
      <c r="A255" s="252" t="s">
        <v>387</v>
      </c>
      <c r="B255" s="253"/>
      <c r="C255" s="254"/>
      <c r="D255" s="261">
        <v>6</v>
      </c>
      <c r="E255" s="262"/>
      <c r="F255" s="265">
        <v>7620</v>
      </c>
      <c r="G255" s="267"/>
    </row>
    <row r="256" spans="1:7" ht="18.75" customHeight="1" x14ac:dyDescent="0.3">
      <c r="A256" s="252" t="s">
        <v>388</v>
      </c>
      <c r="B256" s="253"/>
      <c r="C256" s="254"/>
      <c r="D256" s="261">
        <v>2</v>
      </c>
      <c r="E256" s="262"/>
      <c r="F256" s="265">
        <v>60000</v>
      </c>
      <c r="G256" s="267"/>
    </row>
    <row r="257" spans="1:7" ht="18.75" x14ac:dyDescent="0.3">
      <c r="A257" s="252" t="s">
        <v>383</v>
      </c>
      <c r="B257" s="253"/>
      <c r="C257" s="254"/>
      <c r="D257" s="261"/>
      <c r="E257" s="262"/>
      <c r="F257" s="265"/>
      <c r="G257" s="267"/>
    </row>
    <row r="258" spans="1:7" ht="18.75" customHeight="1" x14ac:dyDescent="0.3">
      <c r="A258" s="252" t="s">
        <v>413</v>
      </c>
      <c r="B258" s="253"/>
      <c r="C258" s="254"/>
      <c r="D258" s="261">
        <v>1</v>
      </c>
      <c r="E258" s="262"/>
      <c r="F258" s="265">
        <v>17350.5</v>
      </c>
      <c r="G258" s="267"/>
    </row>
    <row r="259" spans="1:7" ht="18.75" x14ac:dyDescent="0.3">
      <c r="A259" s="252" t="s">
        <v>414</v>
      </c>
      <c r="B259" s="253"/>
      <c r="C259" s="254"/>
      <c r="D259" s="261">
        <v>1</v>
      </c>
      <c r="E259" s="262"/>
      <c r="F259" s="265">
        <v>66394.58</v>
      </c>
      <c r="G259" s="267"/>
    </row>
    <row r="260" spans="1:7" ht="18.75" x14ac:dyDescent="0.3">
      <c r="A260" s="252" t="s">
        <v>140</v>
      </c>
      <c r="B260" s="253"/>
      <c r="C260" s="254"/>
      <c r="D260" s="261">
        <v>1</v>
      </c>
      <c r="E260" s="262"/>
      <c r="F260" s="265">
        <v>3459458.36</v>
      </c>
      <c r="G260" s="267"/>
    </row>
    <row r="261" spans="1:7" ht="18.75" customHeight="1" x14ac:dyDescent="0.3">
      <c r="A261" s="252" t="s">
        <v>415</v>
      </c>
      <c r="B261" s="253"/>
      <c r="C261" s="254"/>
      <c r="D261" s="261">
        <v>1</v>
      </c>
      <c r="E261" s="262"/>
      <c r="F261" s="265">
        <v>18507.2</v>
      </c>
      <c r="G261" s="267"/>
    </row>
    <row r="262" spans="1:7" ht="18.75" customHeight="1" x14ac:dyDescent="0.3">
      <c r="A262" s="252" t="s">
        <v>416</v>
      </c>
      <c r="B262" s="253"/>
      <c r="C262" s="254"/>
      <c r="D262" s="261">
        <v>2</v>
      </c>
      <c r="E262" s="262"/>
      <c r="F262" s="265">
        <v>69402</v>
      </c>
      <c r="G262" s="267"/>
    </row>
    <row r="263" spans="1:7" ht="18.75" customHeight="1" x14ac:dyDescent="0.3">
      <c r="A263" s="252" t="s">
        <v>352</v>
      </c>
      <c r="B263" s="253"/>
      <c r="C263" s="254"/>
      <c r="D263" s="261">
        <v>1</v>
      </c>
      <c r="E263" s="262"/>
      <c r="F263" s="265">
        <v>107573.1</v>
      </c>
      <c r="G263" s="267"/>
    </row>
    <row r="264" spans="1:7" ht="57.75" customHeight="1" x14ac:dyDescent="0.3">
      <c r="A264" s="252" t="s">
        <v>436</v>
      </c>
      <c r="B264" s="253"/>
      <c r="C264" s="254"/>
      <c r="D264" s="261">
        <v>1</v>
      </c>
      <c r="E264" s="262"/>
      <c r="F264" s="265">
        <f>28917.5+32276.76</f>
        <v>61194.259999999995</v>
      </c>
      <c r="G264" s="267"/>
    </row>
    <row r="265" spans="1:7" ht="18.75" x14ac:dyDescent="0.3">
      <c r="A265" s="252" t="s">
        <v>146</v>
      </c>
      <c r="B265" s="253"/>
      <c r="C265" s="254"/>
      <c r="D265" s="283"/>
      <c r="E265" s="284"/>
      <c r="F265" s="265">
        <f>'гос.задание на 2023-2024 год '!D58</f>
        <v>9008461.2799999993</v>
      </c>
      <c r="G265" s="267"/>
    </row>
    <row r="266" spans="1:7" ht="18.75" x14ac:dyDescent="0.25">
      <c r="A266" s="8"/>
    </row>
    <row r="267" spans="1:7" ht="18.75" x14ac:dyDescent="0.25">
      <c r="A267" s="274" t="s">
        <v>222</v>
      </c>
      <c r="B267" s="274"/>
      <c r="C267" s="274"/>
      <c r="D267" s="274"/>
      <c r="E267" s="274"/>
      <c r="F267" s="274"/>
      <c r="G267" s="274"/>
    </row>
    <row r="268" spans="1:7" ht="18.75" x14ac:dyDescent="0.25">
      <c r="A268" s="9"/>
    </row>
    <row r="269" spans="1:7" ht="18.75" x14ac:dyDescent="0.3">
      <c r="A269" s="9" t="s">
        <v>145</v>
      </c>
      <c r="B269" s="10">
        <v>244</v>
      </c>
    </row>
    <row r="270" spans="1:7" ht="18.75" x14ac:dyDescent="0.25">
      <c r="A270" s="8"/>
    </row>
    <row r="271" spans="1:7" ht="18.75" x14ac:dyDescent="0.25">
      <c r="A271" s="257" t="s">
        <v>86</v>
      </c>
      <c r="B271" s="258"/>
      <c r="C271" s="257" t="s">
        <v>137</v>
      </c>
      <c r="D271" s="258"/>
      <c r="E271" s="257" t="s">
        <v>138</v>
      </c>
      <c r="F271" s="286"/>
      <c r="G271" s="258"/>
    </row>
    <row r="272" spans="1:7" ht="18.75" x14ac:dyDescent="0.3">
      <c r="A272" s="257">
        <v>1</v>
      </c>
      <c r="B272" s="258"/>
      <c r="C272" s="257">
        <v>2</v>
      </c>
      <c r="D272" s="258"/>
      <c r="E272" s="248">
        <v>3</v>
      </c>
      <c r="F272" s="285"/>
      <c r="G272" s="249"/>
    </row>
    <row r="273" spans="1:7" ht="18.75" x14ac:dyDescent="0.3">
      <c r="A273" s="252" t="s">
        <v>25</v>
      </c>
      <c r="B273" s="254"/>
      <c r="C273" s="257">
        <v>1</v>
      </c>
      <c r="D273" s="258"/>
      <c r="E273" s="265">
        <f>'гос.задание на 2023-2024 год '!D59</f>
        <v>5067.62</v>
      </c>
      <c r="F273" s="266"/>
      <c r="G273" s="267"/>
    </row>
    <row r="274" spans="1:7" x14ac:dyDescent="0.25">
      <c r="A274" s="23"/>
    </row>
    <row r="275" spans="1:7" ht="18.75" x14ac:dyDescent="0.25">
      <c r="A275" s="8"/>
    </row>
    <row r="276" spans="1:7" ht="18.75" customHeight="1" x14ac:dyDescent="0.25">
      <c r="A276" s="282" t="s">
        <v>225</v>
      </c>
      <c r="B276" s="282"/>
      <c r="C276" s="282"/>
      <c r="D276" s="282"/>
      <c r="E276" s="282"/>
      <c r="F276" s="282"/>
      <c r="G276" s="282"/>
    </row>
    <row r="277" spans="1:7" ht="18.75" x14ac:dyDescent="0.25">
      <c r="A277" s="9"/>
    </row>
    <row r="278" spans="1:7" ht="18.75" x14ac:dyDescent="0.3">
      <c r="A278" s="9" t="s">
        <v>145</v>
      </c>
      <c r="B278" s="10">
        <v>244</v>
      </c>
    </row>
    <row r="279" spans="1:7" ht="18.75" x14ac:dyDescent="0.25">
      <c r="A279" s="8"/>
    </row>
    <row r="280" spans="1:7" ht="18.75" x14ac:dyDescent="0.25">
      <c r="A280" s="106" t="s">
        <v>86</v>
      </c>
      <c r="B280" s="275" t="s">
        <v>142</v>
      </c>
      <c r="C280" s="275"/>
      <c r="D280" s="275" t="s">
        <v>143</v>
      </c>
      <c r="E280" s="275"/>
      <c r="F280" s="275" t="s">
        <v>150</v>
      </c>
      <c r="G280" s="275"/>
    </row>
    <row r="281" spans="1:7" ht="18.75" x14ac:dyDescent="0.25">
      <c r="A281" s="106">
        <v>1</v>
      </c>
      <c r="B281" s="257">
        <v>2</v>
      </c>
      <c r="C281" s="258"/>
      <c r="D281" s="257">
        <v>3</v>
      </c>
      <c r="E281" s="258"/>
      <c r="F281" s="257">
        <v>4</v>
      </c>
      <c r="G281" s="258"/>
    </row>
    <row r="282" spans="1:7" ht="18.75" x14ac:dyDescent="0.25">
      <c r="A282" s="13"/>
      <c r="B282" s="287"/>
      <c r="C282" s="288"/>
      <c r="D282" s="287"/>
      <c r="E282" s="288"/>
      <c r="F282" s="336"/>
      <c r="G282" s="337"/>
    </row>
    <row r="283" spans="1:7" ht="18.75" x14ac:dyDescent="0.25">
      <c r="A283" s="13" t="s">
        <v>237</v>
      </c>
      <c r="B283" s="257"/>
      <c r="C283" s="258"/>
      <c r="D283" s="255"/>
      <c r="E283" s="256"/>
      <c r="F283" s="255">
        <f>'гос.задание на 2023-2024 год '!D97</f>
        <v>0</v>
      </c>
      <c r="G283" s="256"/>
    </row>
    <row r="284" spans="1:7" ht="18.75" x14ac:dyDescent="0.25">
      <c r="A284" s="13"/>
      <c r="B284" s="257"/>
      <c r="C284" s="258"/>
      <c r="D284" s="255"/>
      <c r="E284" s="256"/>
      <c r="F284" s="255"/>
      <c r="G284" s="256"/>
    </row>
    <row r="285" spans="1:7" ht="18.75" x14ac:dyDescent="0.25">
      <c r="A285" s="13" t="s">
        <v>238</v>
      </c>
      <c r="B285" s="257"/>
      <c r="C285" s="258"/>
      <c r="D285" s="255"/>
      <c r="E285" s="256"/>
      <c r="F285" s="255">
        <f>'гос.задание на 2023-2024 год '!D98</f>
        <v>0</v>
      </c>
      <c r="G285" s="256"/>
    </row>
    <row r="286" spans="1:7" ht="18.75" x14ac:dyDescent="0.25">
      <c r="A286" s="13"/>
      <c r="B286" s="257"/>
      <c r="C286" s="258"/>
      <c r="D286" s="255"/>
      <c r="E286" s="256"/>
      <c r="F286" s="255"/>
      <c r="G286" s="256"/>
    </row>
    <row r="287" spans="1:7" ht="18.75" x14ac:dyDescent="0.25">
      <c r="A287" s="13" t="s">
        <v>239</v>
      </c>
      <c r="B287" s="257"/>
      <c r="C287" s="258"/>
      <c r="D287" s="255"/>
      <c r="E287" s="256"/>
      <c r="F287" s="255">
        <f>'гос.задание на 2023-2024 год '!D99</f>
        <v>290000</v>
      </c>
      <c r="G287" s="256"/>
    </row>
    <row r="288" spans="1:7" ht="18.75" x14ac:dyDescent="0.25">
      <c r="A288" s="13" t="s">
        <v>296</v>
      </c>
      <c r="B288" s="257">
        <v>5370.37</v>
      </c>
      <c r="C288" s="258"/>
      <c r="D288" s="255">
        <v>54</v>
      </c>
      <c r="E288" s="256"/>
      <c r="F288" s="255">
        <v>290000</v>
      </c>
      <c r="G288" s="256"/>
    </row>
    <row r="289" spans="1:7" ht="18.75" x14ac:dyDescent="0.25">
      <c r="A289" s="13" t="s">
        <v>240</v>
      </c>
      <c r="B289" s="257"/>
      <c r="C289" s="258"/>
      <c r="D289" s="255"/>
      <c r="E289" s="256"/>
      <c r="F289" s="255">
        <f>'гос.задание на 2023-2024 год '!D100</f>
        <v>200000</v>
      </c>
      <c r="G289" s="256"/>
    </row>
    <row r="290" spans="1:7" ht="18.75" x14ac:dyDescent="0.25">
      <c r="A290" s="13" t="s">
        <v>297</v>
      </c>
      <c r="B290" s="257">
        <v>4000</v>
      </c>
      <c r="C290" s="258"/>
      <c r="D290" s="255">
        <v>50</v>
      </c>
      <c r="E290" s="256"/>
      <c r="F290" s="255">
        <v>200000</v>
      </c>
      <c r="G290" s="256"/>
    </row>
    <row r="291" spans="1:7" ht="18.75" x14ac:dyDescent="0.25">
      <c r="A291" s="13" t="s">
        <v>241</v>
      </c>
      <c r="B291" s="257"/>
      <c r="C291" s="258"/>
      <c r="D291" s="255"/>
      <c r="E291" s="256"/>
      <c r="F291" s="255">
        <f>'гос.задание на 2023-2024 год '!D101</f>
        <v>334245</v>
      </c>
      <c r="G291" s="256"/>
    </row>
    <row r="292" spans="1:7" ht="18.75" x14ac:dyDescent="0.25">
      <c r="A292" s="13" t="s">
        <v>298</v>
      </c>
      <c r="B292" s="257">
        <v>36</v>
      </c>
      <c r="C292" s="258"/>
      <c r="D292" s="255">
        <v>1666.67</v>
      </c>
      <c r="E292" s="256"/>
      <c r="F292" s="255">
        <v>60000</v>
      </c>
      <c r="G292" s="256"/>
    </row>
    <row r="293" spans="1:7" ht="18.75" x14ac:dyDescent="0.25">
      <c r="A293" s="13" t="s">
        <v>299</v>
      </c>
      <c r="B293" s="257">
        <v>20</v>
      </c>
      <c r="C293" s="258"/>
      <c r="D293" s="255">
        <v>4000</v>
      </c>
      <c r="E293" s="256"/>
      <c r="F293" s="255">
        <v>80000</v>
      </c>
      <c r="G293" s="256"/>
    </row>
    <row r="294" spans="1:7" ht="18.75" x14ac:dyDescent="0.25">
      <c r="A294" s="13" t="s">
        <v>300</v>
      </c>
      <c r="B294" s="257">
        <v>50</v>
      </c>
      <c r="C294" s="258"/>
      <c r="D294" s="255">
        <v>3884.9</v>
      </c>
      <c r="E294" s="256"/>
      <c r="F294" s="255">
        <v>194245</v>
      </c>
      <c r="G294" s="256"/>
    </row>
    <row r="295" spans="1:7" ht="18.75" x14ac:dyDescent="0.25">
      <c r="A295" s="13" t="s">
        <v>242</v>
      </c>
      <c r="B295" s="257"/>
      <c r="C295" s="258"/>
      <c r="D295" s="255"/>
      <c r="E295" s="256"/>
      <c r="F295" s="255">
        <f>'гос.задание на 2023-2024 год '!D102</f>
        <v>8428958.6199999992</v>
      </c>
      <c r="G295" s="256"/>
    </row>
    <row r="296" spans="1:7" ht="18.75" x14ac:dyDescent="0.25">
      <c r="A296" s="13" t="s">
        <v>382</v>
      </c>
      <c r="B296" s="259"/>
      <c r="C296" s="260"/>
      <c r="D296" s="255"/>
      <c r="E296" s="256"/>
      <c r="F296" s="255"/>
      <c r="G296" s="256"/>
    </row>
    <row r="297" spans="1:7" ht="18.75" x14ac:dyDescent="0.25">
      <c r="A297" s="13" t="s">
        <v>301</v>
      </c>
      <c r="B297" s="259">
        <v>1000</v>
      </c>
      <c r="C297" s="260"/>
      <c r="D297" s="255">
        <v>45</v>
      </c>
      <c r="E297" s="256"/>
      <c r="F297" s="255">
        <v>45000</v>
      </c>
      <c r="G297" s="256"/>
    </row>
    <row r="298" spans="1:7" ht="18.75" x14ac:dyDescent="0.25">
      <c r="A298" s="13" t="s">
        <v>302</v>
      </c>
      <c r="B298" s="259">
        <v>1999</v>
      </c>
      <c r="C298" s="260"/>
      <c r="D298" s="255">
        <v>22.9</v>
      </c>
      <c r="E298" s="256"/>
      <c r="F298" s="255">
        <v>45777.120000000003</v>
      </c>
      <c r="G298" s="256"/>
    </row>
    <row r="299" spans="1:7" ht="37.5" x14ac:dyDescent="0.25">
      <c r="A299" s="13" t="s">
        <v>303</v>
      </c>
      <c r="B299" s="259">
        <v>141</v>
      </c>
      <c r="C299" s="260"/>
      <c r="D299" s="255">
        <v>2593.62</v>
      </c>
      <c r="E299" s="256"/>
      <c r="F299" s="255">
        <f>45000+180700+140000</f>
        <v>365700</v>
      </c>
      <c r="G299" s="256"/>
    </row>
    <row r="300" spans="1:7" ht="18.75" x14ac:dyDescent="0.25">
      <c r="A300" s="13" t="s">
        <v>304</v>
      </c>
      <c r="B300" s="259">
        <v>200</v>
      </c>
      <c r="C300" s="260"/>
      <c r="D300" s="255">
        <v>1400</v>
      </c>
      <c r="E300" s="256"/>
      <c r="F300" s="255">
        <v>280000</v>
      </c>
      <c r="G300" s="256"/>
    </row>
    <row r="301" spans="1:7" ht="37.5" x14ac:dyDescent="0.25">
      <c r="A301" s="13" t="s">
        <v>305</v>
      </c>
      <c r="B301" s="259">
        <v>500</v>
      </c>
      <c r="C301" s="260"/>
      <c r="D301" s="255">
        <v>12350.16</v>
      </c>
      <c r="E301" s="256"/>
      <c r="F301" s="255">
        <v>6175081.5</v>
      </c>
      <c r="G301" s="256"/>
    </row>
    <row r="302" spans="1:7" ht="18.75" x14ac:dyDescent="0.25">
      <c r="A302" s="13" t="s">
        <v>383</v>
      </c>
      <c r="B302" s="259"/>
      <c r="C302" s="260"/>
      <c r="D302" s="255"/>
      <c r="E302" s="256"/>
      <c r="F302" s="255"/>
      <c r="G302" s="256"/>
    </row>
    <row r="303" spans="1:7" ht="18.75" x14ac:dyDescent="0.25">
      <c r="A303" s="13" t="s">
        <v>418</v>
      </c>
      <c r="B303" s="259">
        <v>1000</v>
      </c>
      <c r="C303" s="260"/>
      <c r="D303" s="255">
        <v>162.62</v>
      </c>
      <c r="E303" s="256"/>
      <c r="F303" s="255">
        <v>162620</v>
      </c>
      <c r="G303" s="256"/>
    </row>
    <row r="304" spans="1:7" ht="18.75" x14ac:dyDescent="0.25">
      <c r="A304" s="13" t="s">
        <v>419</v>
      </c>
      <c r="B304" s="259">
        <v>500</v>
      </c>
      <c r="C304" s="260"/>
      <c r="D304" s="255">
        <v>525.54</v>
      </c>
      <c r="E304" s="256"/>
      <c r="F304" s="255">
        <v>262770</v>
      </c>
      <c r="G304" s="256"/>
    </row>
    <row r="305" spans="1:7" ht="37.5" x14ac:dyDescent="0.25">
      <c r="A305" s="13" t="s">
        <v>420</v>
      </c>
      <c r="B305" s="259">
        <v>30</v>
      </c>
      <c r="C305" s="260"/>
      <c r="D305" s="255">
        <v>212.51</v>
      </c>
      <c r="E305" s="256"/>
      <c r="F305" s="255">
        <v>6375.3</v>
      </c>
      <c r="G305" s="256"/>
    </row>
    <row r="306" spans="1:7" ht="37.5" x14ac:dyDescent="0.25">
      <c r="A306" s="13" t="s">
        <v>438</v>
      </c>
      <c r="B306" s="259">
        <v>12</v>
      </c>
      <c r="C306" s="260"/>
      <c r="D306" s="255">
        <v>13858.18</v>
      </c>
      <c r="E306" s="256"/>
      <c r="F306" s="255">
        <v>166298.20000000001</v>
      </c>
      <c r="G306" s="256"/>
    </row>
    <row r="307" spans="1:7" ht="18.75" x14ac:dyDescent="0.25">
      <c r="A307" s="13" t="s">
        <v>422</v>
      </c>
      <c r="B307" s="259">
        <v>1000</v>
      </c>
      <c r="C307" s="260"/>
      <c r="D307" s="255">
        <v>8.31</v>
      </c>
      <c r="E307" s="256"/>
      <c r="F307" s="255">
        <v>8310</v>
      </c>
      <c r="G307" s="256"/>
    </row>
    <row r="308" spans="1:7" ht="18.75" x14ac:dyDescent="0.25">
      <c r="A308" s="13" t="s">
        <v>301</v>
      </c>
      <c r="B308" s="259">
        <v>1000</v>
      </c>
      <c r="C308" s="260"/>
      <c r="D308" s="255">
        <v>277.19</v>
      </c>
      <c r="E308" s="256"/>
      <c r="F308" s="255">
        <v>277190</v>
      </c>
      <c r="G308" s="256"/>
    </row>
    <row r="309" spans="1:7" ht="18.75" x14ac:dyDescent="0.25">
      <c r="A309" s="13" t="s">
        <v>423</v>
      </c>
      <c r="B309" s="259">
        <v>70</v>
      </c>
      <c r="C309" s="260"/>
      <c r="D309" s="255">
        <v>791.95</v>
      </c>
      <c r="E309" s="256"/>
      <c r="F309" s="255">
        <v>55436.5</v>
      </c>
      <c r="G309" s="256"/>
    </row>
    <row r="310" spans="1:7" ht="18.75" x14ac:dyDescent="0.25">
      <c r="A310" s="13" t="s">
        <v>302</v>
      </c>
      <c r="B310" s="259">
        <v>2000</v>
      </c>
      <c r="C310" s="260"/>
      <c r="D310" s="255">
        <v>132.13</v>
      </c>
      <c r="E310" s="256"/>
      <c r="F310" s="255">
        <v>264260</v>
      </c>
      <c r="G310" s="256"/>
    </row>
    <row r="311" spans="1:7" ht="37.5" x14ac:dyDescent="0.25">
      <c r="A311" s="13" t="s">
        <v>305</v>
      </c>
      <c r="B311" s="259">
        <v>80</v>
      </c>
      <c r="C311" s="260"/>
      <c r="D311" s="255">
        <v>3926.75</v>
      </c>
      <c r="E311" s="256"/>
      <c r="F311" s="255">
        <v>314140</v>
      </c>
      <c r="G311" s="256"/>
    </row>
    <row r="312" spans="1:7" ht="18.75" x14ac:dyDescent="0.25">
      <c r="A312" s="13" t="s">
        <v>243</v>
      </c>
      <c r="B312" s="257"/>
      <c r="C312" s="258"/>
      <c r="D312" s="255"/>
      <c r="E312" s="256"/>
      <c r="F312" s="255">
        <f>'гос.задание на 2023-2024 год '!D104</f>
        <v>148700</v>
      </c>
      <c r="G312" s="256"/>
    </row>
    <row r="313" spans="1:7" ht="37.5" x14ac:dyDescent="0.25">
      <c r="A313" s="13" t="s">
        <v>389</v>
      </c>
      <c r="B313" s="259">
        <v>100000</v>
      </c>
      <c r="C313" s="260"/>
      <c r="D313" s="255">
        <v>1.48</v>
      </c>
      <c r="E313" s="256"/>
      <c r="F313" s="255">
        <v>148700</v>
      </c>
      <c r="G313" s="256"/>
    </row>
    <row r="314" spans="1:7" ht="18.75" x14ac:dyDescent="0.25">
      <c r="A314" s="15"/>
      <c r="B314" s="16"/>
      <c r="C314" s="16"/>
      <c r="D314" s="16"/>
      <c r="E314" s="16"/>
      <c r="F314" s="78"/>
      <c r="G314" s="78"/>
    </row>
    <row r="315" spans="1:7" ht="18.75" x14ac:dyDescent="0.25">
      <c r="A315" s="29"/>
    </row>
    <row r="316" spans="1:7" ht="18.75" x14ac:dyDescent="0.3">
      <c r="A316" s="29" t="s">
        <v>151</v>
      </c>
      <c r="B316" s="10"/>
      <c r="C316" s="224"/>
      <c r="D316" s="224"/>
      <c r="E316" s="10"/>
      <c r="F316" s="224" t="s">
        <v>499</v>
      </c>
      <c r="G316" s="224"/>
    </row>
    <row r="317" spans="1:7" ht="18.75" x14ac:dyDescent="0.3">
      <c r="A317" s="29"/>
      <c r="B317" s="10"/>
      <c r="C317" s="223" t="s">
        <v>53</v>
      </c>
      <c r="D317" s="223"/>
      <c r="E317" s="10"/>
      <c r="F317" s="223" t="s">
        <v>54</v>
      </c>
      <c r="G317" s="223"/>
    </row>
    <row r="318" spans="1:7" ht="18.75" x14ac:dyDescent="0.3">
      <c r="A318" s="29"/>
      <c r="B318" s="10"/>
      <c r="C318" s="104"/>
      <c r="D318" s="104"/>
      <c r="E318" s="10"/>
      <c r="F318" s="104"/>
      <c r="G318" s="104"/>
    </row>
    <row r="319" spans="1:7" ht="18.75" x14ac:dyDescent="0.3">
      <c r="A319" s="29" t="s">
        <v>152</v>
      </c>
      <c r="B319" s="10"/>
      <c r="C319" s="224"/>
      <c r="D319" s="224"/>
      <c r="E319" s="10"/>
      <c r="F319" s="224" t="s">
        <v>500</v>
      </c>
      <c r="G319" s="224"/>
    </row>
    <row r="320" spans="1:7" ht="18.75" x14ac:dyDescent="0.3">
      <c r="A320" s="29"/>
      <c r="B320" s="10"/>
      <c r="C320" s="223" t="s">
        <v>53</v>
      </c>
      <c r="D320" s="223"/>
      <c r="E320" s="10"/>
      <c r="F320" s="223" t="s">
        <v>54</v>
      </c>
      <c r="G320" s="223"/>
    </row>
    <row r="321" spans="1:7" ht="18.75" x14ac:dyDescent="0.3">
      <c r="A321" s="29"/>
      <c r="B321" s="10"/>
      <c r="C321" s="104"/>
      <c r="D321" s="104"/>
      <c r="E321" s="10"/>
      <c r="F321" s="104"/>
      <c r="G321" s="104"/>
    </row>
    <row r="322" spans="1:7" ht="18.75" x14ac:dyDescent="0.3">
      <c r="A322" s="29" t="s">
        <v>153</v>
      </c>
      <c r="B322" s="10"/>
      <c r="C322" s="224"/>
      <c r="D322" s="224"/>
      <c r="E322" s="10"/>
      <c r="F322" s="224" t="s">
        <v>500</v>
      </c>
      <c r="G322" s="224"/>
    </row>
    <row r="323" spans="1:7" ht="18.75" x14ac:dyDescent="0.3">
      <c r="A323" s="29"/>
      <c r="B323" s="10"/>
      <c r="C323" s="223" t="s">
        <v>53</v>
      </c>
      <c r="D323" s="223"/>
      <c r="E323" s="10"/>
      <c r="F323" s="223" t="s">
        <v>54</v>
      </c>
      <c r="G323" s="223"/>
    </row>
    <row r="324" spans="1:7" ht="18.75" x14ac:dyDescent="0.3">
      <c r="A324" s="29" t="s">
        <v>154</v>
      </c>
      <c r="B324" s="10"/>
      <c r="C324" s="10"/>
      <c r="D324" s="10"/>
      <c r="E324" s="10"/>
      <c r="F324" s="10"/>
      <c r="G324" s="10"/>
    </row>
    <row r="325" spans="1:7" ht="18.75" x14ac:dyDescent="0.3">
      <c r="A325" s="222" t="s">
        <v>44</v>
      </c>
      <c r="B325" s="222"/>
      <c r="C325" s="10"/>
      <c r="D325" s="10"/>
      <c r="E325" s="10"/>
      <c r="F325" s="10"/>
      <c r="G325" s="10"/>
    </row>
  </sheetData>
  <mergeCells count="485">
    <mergeCell ref="A85:G85"/>
    <mergeCell ref="A97:G97"/>
    <mergeCell ref="A102:G102"/>
    <mergeCell ref="A325:B325"/>
    <mergeCell ref="A246:C246"/>
    <mergeCell ref="A244:C244"/>
    <mergeCell ref="A157:G157"/>
    <mergeCell ref="A129:G129"/>
    <mergeCell ref="F292:G292"/>
    <mergeCell ref="D292:E292"/>
    <mergeCell ref="B292:C292"/>
    <mergeCell ref="F283:G283"/>
    <mergeCell ref="D283:E283"/>
    <mergeCell ref="B283:C283"/>
    <mergeCell ref="F282:G282"/>
    <mergeCell ref="D282:E282"/>
    <mergeCell ref="F290:G290"/>
    <mergeCell ref="B291:C291"/>
    <mergeCell ref="D291:E291"/>
    <mergeCell ref="F300:G300"/>
    <mergeCell ref="B290:C290"/>
    <mergeCell ref="D290:E290"/>
    <mergeCell ref="B289:C289"/>
    <mergeCell ref="D289:E289"/>
    <mergeCell ref="F289:G289"/>
    <mergeCell ref="F298:G298"/>
    <mergeCell ref="D288:E288"/>
    <mergeCell ref="F288:G288"/>
    <mergeCell ref="F299:G299"/>
    <mergeCell ref="B300:C300"/>
    <mergeCell ref="D300:E300"/>
    <mergeCell ref="B305:C305"/>
    <mergeCell ref="D305:E305"/>
    <mergeCell ref="F305:G305"/>
    <mergeCell ref="B301:C301"/>
    <mergeCell ref="D301:E301"/>
    <mergeCell ref="F301:G301"/>
    <mergeCell ref="B302:C302"/>
    <mergeCell ref="D302:E302"/>
    <mergeCell ref="F302:G302"/>
    <mergeCell ref="B303:C303"/>
    <mergeCell ref="D303:E303"/>
    <mergeCell ref="F303:G303"/>
    <mergeCell ref="B304:C304"/>
    <mergeCell ref="D304:E304"/>
    <mergeCell ref="F304:G304"/>
    <mergeCell ref="B293:C293"/>
    <mergeCell ref="D293:E293"/>
    <mergeCell ref="A265:C265"/>
    <mergeCell ref="D265:E265"/>
    <mergeCell ref="F265:G265"/>
    <mergeCell ref="A273:B273"/>
    <mergeCell ref="C273:D273"/>
    <mergeCell ref="E273:G273"/>
    <mergeCell ref="A276:G276"/>
    <mergeCell ref="B280:C280"/>
    <mergeCell ref="D280:E280"/>
    <mergeCell ref="F280:G280"/>
    <mergeCell ref="F293:G293"/>
    <mergeCell ref="A267:G267"/>
    <mergeCell ref="A271:B271"/>
    <mergeCell ref="C271:D271"/>
    <mergeCell ref="E271:G271"/>
    <mergeCell ref="A272:B272"/>
    <mergeCell ref="C272:D272"/>
    <mergeCell ref="E272:G272"/>
    <mergeCell ref="B281:C281"/>
    <mergeCell ref="F291:G291"/>
    <mergeCell ref="B288:C288"/>
    <mergeCell ref="D281:E281"/>
    <mergeCell ref="F281:G281"/>
    <mergeCell ref="B286:C286"/>
    <mergeCell ref="D286:E286"/>
    <mergeCell ref="F286:G286"/>
    <mergeCell ref="B287:C287"/>
    <mergeCell ref="D287:E287"/>
    <mergeCell ref="F287:G287"/>
    <mergeCell ref="B284:C284"/>
    <mergeCell ref="D284:E284"/>
    <mergeCell ref="F284:G284"/>
    <mergeCell ref="B285:C285"/>
    <mergeCell ref="D285:E285"/>
    <mergeCell ref="A232:C232"/>
    <mergeCell ref="D232:E232"/>
    <mergeCell ref="F232:G232"/>
    <mergeCell ref="A233:C233"/>
    <mergeCell ref="D233:E233"/>
    <mergeCell ref="F233:G233"/>
    <mergeCell ref="A230:C230"/>
    <mergeCell ref="D230:E230"/>
    <mergeCell ref="A257:C257"/>
    <mergeCell ref="D257:E257"/>
    <mergeCell ref="F257:G257"/>
    <mergeCell ref="A236:C236"/>
    <mergeCell ref="D236:E236"/>
    <mergeCell ref="F236:G236"/>
    <mergeCell ref="D254:E254"/>
    <mergeCell ref="F251:G251"/>
    <mergeCell ref="A255:C255"/>
    <mergeCell ref="D255:E255"/>
    <mergeCell ref="F255:G255"/>
    <mergeCell ref="A239:G239"/>
    <mergeCell ref="A227:C227"/>
    <mergeCell ref="D227:E227"/>
    <mergeCell ref="F227:G227"/>
    <mergeCell ref="A228:C228"/>
    <mergeCell ref="D228:E228"/>
    <mergeCell ref="F228:G228"/>
    <mergeCell ref="A229:C229"/>
    <mergeCell ref="D229:E229"/>
    <mergeCell ref="F229:G229"/>
    <mergeCell ref="A216:C216"/>
    <mergeCell ref="D216:E216"/>
    <mergeCell ref="F216:G216"/>
    <mergeCell ref="F254:G254"/>
    <mergeCell ref="A249:C249"/>
    <mergeCell ref="D249:E249"/>
    <mergeCell ref="F249:G249"/>
    <mergeCell ref="A250:C250"/>
    <mergeCell ref="D250:E250"/>
    <mergeCell ref="F250:G250"/>
    <mergeCell ref="A251:C251"/>
    <mergeCell ref="D251:E251"/>
    <mergeCell ref="A247:C247"/>
    <mergeCell ref="D247:E247"/>
    <mergeCell ref="F247:G247"/>
    <mergeCell ref="A248:C248"/>
    <mergeCell ref="D248:E248"/>
    <mergeCell ref="F248:G248"/>
    <mergeCell ref="A217:C217"/>
    <mergeCell ref="D217:E217"/>
    <mergeCell ref="F217:G217"/>
    <mergeCell ref="A218:C218"/>
    <mergeCell ref="D218:E218"/>
    <mergeCell ref="F218:G218"/>
    <mergeCell ref="A213:C213"/>
    <mergeCell ref="D213:E213"/>
    <mergeCell ref="F213:G213"/>
    <mergeCell ref="A214:C214"/>
    <mergeCell ref="D214:E214"/>
    <mergeCell ref="F214:G214"/>
    <mergeCell ref="A215:C215"/>
    <mergeCell ref="D215:E215"/>
    <mergeCell ref="F215:G215"/>
    <mergeCell ref="A210:C210"/>
    <mergeCell ref="D210:E210"/>
    <mergeCell ref="F210:G210"/>
    <mergeCell ref="A211:C211"/>
    <mergeCell ref="D211:E211"/>
    <mergeCell ref="F211:G211"/>
    <mergeCell ref="A212:C212"/>
    <mergeCell ref="D212:E212"/>
    <mergeCell ref="F212:G212"/>
    <mergeCell ref="A207:C207"/>
    <mergeCell ref="D207:E207"/>
    <mergeCell ref="F207:G207"/>
    <mergeCell ref="A208:C208"/>
    <mergeCell ref="D208:E208"/>
    <mergeCell ref="F208:G208"/>
    <mergeCell ref="A209:C209"/>
    <mergeCell ref="D209:E209"/>
    <mergeCell ref="F209:G209"/>
    <mergeCell ref="A204:C204"/>
    <mergeCell ref="D204:E204"/>
    <mergeCell ref="F204:G204"/>
    <mergeCell ref="A205:C205"/>
    <mergeCell ref="D205:E205"/>
    <mergeCell ref="F205:G205"/>
    <mergeCell ref="A206:C206"/>
    <mergeCell ref="D206:E206"/>
    <mergeCell ref="F206:G206"/>
    <mergeCell ref="A201:C201"/>
    <mergeCell ref="D201:E201"/>
    <mergeCell ref="F201:G201"/>
    <mergeCell ref="A202:C202"/>
    <mergeCell ref="D202:E202"/>
    <mergeCell ref="F202:G202"/>
    <mergeCell ref="A203:C203"/>
    <mergeCell ref="D203:E203"/>
    <mergeCell ref="F203:G203"/>
    <mergeCell ref="A194:C194"/>
    <mergeCell ref="D194:E194"/>
    <mergeCell ref="F194:G194"/>
    <mergeCell ref="A195:C195"/>
    <mergeCell ref="D195:E195"/>
    <mergeCell ref="F195:G195"/>
    <mergeCell ref="A196:C196"/>
    <mergeCell ref="D196:E196"/>
    <mergeCell ref="F196:G196"/>
    <mergeCell ref="A197:C197"/>
    <mergeCell ref="D197:E197"/>
    <mergeCell ref="F197:G197"/>
    <mergeCell ref="A198:C198"/>
    <mergeCell ref="D198:E198"/>
    <mergeCell ref="F198:G198"/>
    <mergeCell ref="A199:C199"/>
    <mergeCell ref="D199:E199"/>
    <mergeCell ref="F199:G199"/>
    <mergeCell ref="B181:C181"/>
    <mergeCell ref="D181:E181"/>
    <mergeCell ref="F180:G181"/>
    <mergeCell ref="B183:C183"/>
    <mergeCell ref="D183:E183"/>
    <mergeCell ref="F182:G183"/>
    <mergeCell ref="A188:G188"/>
    <mergeCell ref="A193:C193"/>
    <mergeCell ref="D193:E193"/>
    <mergeCell ref="F193:G193"/>
    <mergeCell ref="A192:C192"/>
    <mergeCell ref="D192:E192"/>
    <mergeCell ref="F192:G192"/>
    <mergeCell ref="B185:C185"/>
    <mergeCell ref="D185:E185"/>
    <mergeCell ref="F184:G185"/>
    <mergeCell ref="B184:C184"/>
    <mergeCell ref="D184:E184"/>
    <mergeCell ref="B169:C169"/>
    <mergeCell ref="D169:E169"/>
    <mergeCell ref="F169:G169"/>
    <mergeCell ref="F178:G179"/>
    <mergeCell ref="B179:C179"/>
    <mergeCell ref="D179:E179"/>
    <mergeCell ref="F177:G177"/>
    <mergeCell ref="B178:C178"/>
    <mergeCell ref="D178:E178"/>
    <mergeCell ref="A171:G171"/>
    <mergeCell ref="B165:C165"/>
    <mergeCell ref="D165:E165"/>
    <mergeCell ref="F165:G165"/>
    <mergeCell ref="B167:C167"/>
    <mergeCell ref="D167:E167"/>
    <mergeCell ref="F167:G167"/>
    <mergeCell ref="B186:C186"/>
    <mergeCell ref="D186:E186"/>
    <mergeCell ref="F186:G186"/>
    <mergeCell ref="B175:C175"/>
    <mergeCell ref="D175:E175"/>
    <mergeCell ref="F175:G175"/>
    <mergeCell ref="B176:C176"/>
    <mergeCell ref="D176:E176"/>
    <mergeCell ref="F176:G176"/>
    <mergeCell ref="B180:C180"/>
    <mergeCell ref="D180:E180"/>
    <mergeCell ref="B182:C182"/>
    <mergeCell ref="D182:E182"/>
    <mergeCell ref="B177:C177"/>
    <mergeCell ref="D177:E177"/>
    <mergeCell ref="B166:C166"/>
    <mergeCell ref="D166:E166"/>
    <mergeCell ref="F166:G166"/>
    <mergeCell ref="A5:G5"/>
    <mergeCell ref="B9:C9"/>
    <mergeCell ref="D9:E9"/>
    <mergeCell ref="F9:G9"/>
    <mergeCell ref="A116:A117"/>
    <mergeCell ref="B116:C117"/>
    <mergeCell ref="D116:E117"/>
    <mergeCell ref="F116:G117"/>
    <mergeCell ref="A13:G13"/>
    <mergeCell ref="A15:G15"/>
    <mergeCell ref="A19:A21"/>
    <mergeCell ref="B19:B21"/>
    <mergeCell ref="C19:F19"/>
    <mergeCell ref="G19:G21"/>
    <mergeCell ref="C20:C21"/>
    <mergeCell ref="D20:F20"/>
    <mergeCell ref="A38:G38"/>
    <mergeCell ref="A42:G42"/>
    <mergeCell ref="A47:G47"/>
    <mergeCell ref="A56:G56"/>
    <mergeCell ref="A60:G60"/>
    <mergeCell ref="A70:G70"/>
    <mergeCell ref="A78:G78"/>
    <mergeCell ref="A31:G31"/>
    <mergeCell ref="A121:G121"/>
    <mergeCell ref="A137:G137"/>
    <mergeCell ref="B140:C140"/>
    <mergeCell ref="C125:D125"/>
    <mergeCell ref="E1:G1"/>
    <mergeCell ref="A2:G2"/>
    <mergeCell ref="A4:G4"/>
    <mergeCell ref="B10:C10"/>
    <mergeCell ref="D10:E10"/>
    <mergeCell ref="F10:G10"/>
    <mergeCell ref="B11:C11"/>
    <mergeCell ref="D11:E11"/>
    <mergeCell ref="F11:G11"/>
    <mergeCell ref="F125:G125"/>
    <mergeCell ref="C126:D126"/>
    <mergeCell ref="F126:G126"/>
    <mergeCell ref="C127:D127"/>
    <mergeCell ref="F127:G127"/>
    <mergeCell ref="B118:C118"/>
    <mergeCell ref="D118:E118"/>
    <mergeCell ref="F118:G118"/>
    <mergeCell ref="B119:C119"/>
    <mergeCell ref="D119:E119"/>
    <mergeCell ref="F119:G119"/>
    <mergeCell ref="B135:C135"/>
    <mergeCell ref="D135:E135"/>
    <mergeCell ref="F135:G135"/>
    <mergeCell ref="B133:C133"/>
    <mergeCell ref="D133:E133"/>
    <mergeCell ref="F133:G133"/>
    <mergeCell ref="B134:C134"/>
    <mergeCell ref="D134:E134"/>
    <mergeCell ref="F134:G134"/>
    <mergeCell ref="D140:E140"/>
    <mergeCell ref="F140:G140"/>
    <mergeCell ref="B149:C149"/>
    <mergeCell ref="D149:E149"/>
    <mergeCell ref="F149:G149"/>
    <mergeCell ref="B147:C147"/>
    <mergeCell ref="D147:E147"/>
    <mergeCell ref="F147:G147"/>
    <mergeCell ref="B148:C148"/>
    <mergeCell ref="D148:E148"/>
    <mergeCell ref="F148:G148"/>
    <mergeCell ref="B141:C141"/>
    <mergeCell ref="D141:E141"/>
    <mergeCell ref="F141:G141"/>
    <mergeCell ref="B142:C142"/>
    <mergeCell ref="D142:E142"/>
    <mergeCell ref="F142:G143"/>
    <mergeCell ref="B143:C143"/>
    <mergeCell ref="D143:E143"/>
    <mergeCell ref="B155:C155"/>
    <mergeCell ref="D155:E155"/>
    <mergeCell ref="F155:G155"/>
    <mergeCell ref="B153:C153"/>
    <mergeCell ref="D153:E153"/>
    <mergeCell ref="F153:G153"/>
    <mergeCell ref="B154:C154"/>
    <mergeCell ref="D154:E154"/>
    <mergeCell ref="F154:G154"/>
    <mergeCell ref="B163:C163"/>
    <mergeCell ref="D163:E163"/>
    <mergeCell ref="B164:C164"/>
    <mergeCell ref="D164:E164"/>
    <mergeCell ref="B161:C161"/>
    <mergeCell ref="D161:E161"/>
    <mergeCell ref="B162:C162"/>
    <mergeCell ref="D162:E162"/>
    <mergeCell ref="F162:G162"/>
    <mergeCell ref="F163:G163"/>
    <mergeCell ref="F164:G164"/>
    <mergeCell ref="F161:G161"/>
    <mergeCell ref="F285:G285"/>
    <mergeCell ref="B282:C282"/>
    <mergeCell ref="D306:E306"/>
    <mergeCell ref="F306:G306"/>
    <mergeCell ref="B307:C307"/>
    <mergeCell ref="D307:E307"/>
    <mergeCell ref="F307:G307"/>
    <mergeCell ref="B311:C311"/>
    <mergeCell ref="D311:E311"/>
    <mergeCell ref="F311:G311"/>
    <mergeCell ref="B308:C308"/>
    <mergeCell ref="D308:E308"/>
    <mergeCell ref="B294:C294"/>
    <mergeCell ref="D294:E294"/>
    <mergeCell ref="F294:G294"/>
    <mergeCell ref="B295:C295"/>
    <mergeCell ref="D295:E295"/>
    <mergeCell ref="F295:G295"/>
    <mergeCell ref="B296:C296"/>
    <mergeCell ref="D296:E296"/>
    <mergeCell ref="F296:G296"/>
    <mergeCell ref="B297:C297"/>
    <mergeCell ref="D297:E297"/>
    <mergeCell ref="F297:G297"/>
    <mergeCell ref="C323:D323"/>
    <mergeCell ref="F323:G323"/>
    <mergeCell ref="C316:D316"/>
    <mergeCell ref="F316:G316"/>
    <mergeCell ref="C317:D317"/>
    <mergeCell ref="F317:G317"/>
    <mergeCell ref="C319:D319"/>
    <mergeCell ref="F319:G319"/>
    <mergeCell ref="B312:C312"/>
    <mergeCell ref="D312:E312"/>
    <mergeCell ref="F312:G312"/>
    <mergeCell ref="B313:C313"/>
    <mergeCell ref="D313:E313"/>
    <mergeCell ref="F313:G313"/>
    <mergeCell ref="C320:D320"/>
    <mergeCell ref="F320:G320"/>
    <mergeCell ref="C322:D322"/>
    <mergeCell ref="F322:G322"/>
    <mergeCell ref="B298:C298"/>
    <mergeCell ref="D298:E298"/>
    <mergeCell ref="B299:C299"/>
    <mergeCell ref="D299:E299"/>
    <mergeCell ref="B306:C306"/>
    <mergeCell ref="A223:C223"/>
    <mergeCell ref="D223:E223"/>
    <mergeCell ref="F223:G223"/>
    <mergeCell ref="F222:G222"/>
    <mergeCell ref="A224:C224"/>
    <mergeCell ref="D224:E224"/>
    <mergeCell ref="F224:G224"/>
    <mergeCell ref="A225:C225"/>
    <mergeCell ref="D225:E225"/>
    <mergeCell ref="F225:G225"/>
    <mergeCell ref="A260:C260"/>
    <mergeCell ref="D260:E260"/>
    <mergeCell ref="F260:G260"/>
    <mergeCell ref="A234:C234"/>
    <mergeCell ref="D234:E234"/>
    <mergeCell ref="F234:G234"/>
    <mergeCell ref="A235:C235"/>
    <mergeCell ref="D235:E235"/>
    <mergeCell ref="F235:G235"/>
    <mergeCell ref="A200:C200"/>
    <mergeCell ref="D200:E200"/>
    <mergeCell ref="F200:G200"/>
    <mergeCell ref="B168:C168"/>
    <mergeCell ref="D168:E168"/>
    <mergeCell ref="F168:G168"/>
    <mergeCell ref="F230:G230"/>
    <mergeCell ref="A231:C231"/>
    <mergeCell ref="D231:E231"/>
    <mergeCell ref="F231:G231"/>
    <mergeCell ref="A226:C226"/>
    <mergeCell ref="D226:E226"/>
    <mergeCell ref="F226:G226"/>
    <mergeCell ref="A219:C219"/>
    <mergeCell ref="D219:E219"/>
    <mergeCell ref="F219:G219"/>
    <mergeCell ref="A220:C220"/>
    <mergeCell ref="D220:E220"/>
    <mergeCell ref="F220:G220"/>
    <mergeCell ref="A221:C221"/>
    <mergeCell ref="D221:E221"/>
    <mergeCell ref="F221:G221"/>
    <mergeCell ref="A222:C222"/>
    <mergeCell ref="D222:E222"/>
    <mergeCell ref="A258:C258"/>
    <mergeCell ref="D258:E258"/>
    <mergeCell ref="A243:C243"/>
    <mergeCell ref="F237:G237"/>
    <mergeCell ref="A254:C254"/>
    <mergeCell ref="A256:C256"/>
    <mergeCell ref="F258:G258"/>
    <mergeCell ref="A252:C252"/>
    <mergeCell ref="D252:E252"/>
    <mergeCell ref="F252:G252"/>
    <mergeCell ref="A253:C253"/>
    <mergeCell ref="D253:E253"/>
    <mergeCell ref="F253:G253"/>
    <mergeCell ref="A237:C237"/>
    <mergeCell ref="D237:E237"/>
    <mergeCell ref="D256:E256"/>
    <mergeCell ref="F256:G256"/>
    <mergeCell ref="F245:G245"/>
    <mergeCell ref="D246:E246"/>
    <mergeCell ref="F246:G246"/>
    <mergeCell ref="D243:E243"/>
    <mergeCell ref="F243:G243"/>
    <mergeCell ref="D244:E244"/>
    <mergeCell ref="F244:G244"/>
    <mergeCell ref="F308:G308"/>
    <mergeCell ref="B309:C309"/>
    <mergeCell ref="D309:E309"/>
    <mergeCell ref="F309:G309"/>
    <mergeCell ref="B310:C310"/>
    <mergeCell ref="D310:E310"/>
    <mergeCell ref="F310:G310"/>
    <mergeCell ref="A245:C245"/>
    <mergeCell ref="D245:E245"/>
    <mergeCell ref="A263:C263"/>
    <mergeCell ref="D263:E263"/>
    <mergeCell ref="F263:G263"/>
    <mergeCell ref="A264:C264"/>
    <mergeCell ref="D264:E264"/>
    <mergeCell ref="F264:G264"/>
    <mergeCell ref="A261:C261"/>
    <mergeCell ref="D261:E261"/>
    <mergeCell ref="F261:G261"/>
    <mergeCell ref="A262:C262"/>
    <mergeCell ref="D262:E262"/>
    <mergeCell ref="F262:G262"/>
    <mergeCell ref="A259:C259"/>
    <mergeCell ref="D259:E259"/>
    <mergeCell ref="F259:G259"/>
  </mergeCells>
  <pageMargins left="1.3779527559055118" right="0.39370078740157483" top="0.98425196850393704" bottom="0.78740157480314965" header="0.31496062992125984" footer="0.31496062992125984"/>
  <pageSetup paperSize="9" scale="49" orientation="portrait" r:id="rId1"/>
  <rowBreaks count="5" manualBreakCount="5">
    <brk id="62" max="6" man="1"/>
    <brk id="127" max="6" man="1"/>
    <brk id="181" max="6" man="1"/>
    <brk id="246" max="6" man="1"/>
    <brk id="310" max="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25"/>
  <sheetViews>
    <sheetView view="pageBreakPreview" topLeftCell="A301" zoomScale="85" zoomScaleNormal="85" zoomScaleSheetLayoutView="85" workbookViewId="0">
      <selection activeCell="A305" sqref="A305"/>
    </sheetView>
  </sheetViews>
  <sheetFormatPr defaultColWidth="8.85546875" defaultRowHeight="15" x14ac:dyDescent="0.25"/>
  <cols>
    <col min="1" max="1" width="39.42578125" style="7" customWidth="1"/>
    <col min="2" max="2" width="12.85546875" style="7" customWidth="1"/>
    <col min="3" max="6" width="16.42578125" style="7" customWidth="1"/>
    <col min="7" max="7" width="16.28515625" style="7" customWidth="1"/>
    <col min="8" max="8" width="17.28515625" style="7" customWidth="1"/>
    <col min="9" max="10" width="13.7109375" style="7" customWidth="1"/>
    <col min="11" max="11" width="11.5703125" style="7" bestFit="1" customWidth="1"/>
    <col min="12" max="16384" width="8.85546875" style="7"/>
  </cols>
  <sheetData>
    <row r="1" spans="1:11" ht="18.75" x14ac:dyDescent="0.25">
      <c r="A1" s="6"/>
      <c r="E1" s="319"/>
      <c r="F1" s="319"/>
      <c r="G1" s="319"/>
    </row>
    <row r="2" spans="1:11" ht="40.15" customHeight="1" x14ac:dyDescent="0.25">
      <c r="A2" s="289" t="s">
        <v>473</v>
      </c>
      <c r="B2" s="289"/>
      <c r="C2" s="289"/>
      <c r="D2" s="289"/>
      <c r="E2" s="289"/>
      <c r="F2" s="289"/>
      <c r="G2" s="289"/>
    </row>
    <row r="3" spans="1:11" ht="18.75" x14ac:dyDescent="0.25">
      <c r="A3" s="208"/>
      <c r="B3" s="208"/>
      <c r="C3" s="208"/>
      <c r="D3" s="208"/>
      <c r="E3" s="208"/>
      <c r="F3" s="208"/>
      <c r="G3" s="208"/>
    </row>
    <row r="4" spans="1:11" ht="35.450000000000003" customHeight="1" x14ac:dyDescent="0.25">
      <c r="A4" s="289" t="s">
        <v>474</v>
      </c>
      <c r="B4" s="289"/>
      <c r="C4" s="289"/>
      <c r="D4" s="289"/>
      <c r="E4" s="289"/>
      <c r="F4" s="289"/>
      <c r="G4" s="289"/>
    </row>
    <row r="5" spans="1:11" ht="43.9" customHeight="1" x14ac:dyDescent="0.25">
      <c r="A5" s="289" t="s">
        <v>174</v>
      </c>
      <c r="B5" s="289"/>
      <c r="C5" s="289"/>
      <c r="D5" s="289"/>
      <c r="E5" s="289"/>
      <c r="F5" s="289"/>
      <c r="G5" s="289"/>
    </row>
    <row r="6" spans="1:11" ht="18.75" x14ac:dyDescent="0.25">
      <c r="A6" s="208"/>
      <c r="B6" s="208"/>
      <c r="C6" s="208"/>
      <c r="D6" s="208"/>
      <c r="E6" s="208"/>
      <c r="F6" s="208"/>
      <c r="G6" s="208"/>
    </row>
    <row r="7" spans="1:11" ht="18.75" x14ac:dyDescent="0.3">
      <c r="A7" s="9" t="s">
        <v>255</v>
      </c>
      <c r="B7" s="10">
        <v>130</v>
      </c>
    </row>
    <row r="8" spans="1:11" x14ac:dyDescent="0.25">
      <c r="A8" s="11"/>
    </row>
    <row r="9" spans="1:11" ht="55.9" customHeight="1" x14ac:dyDescent="0.3">
      <c r="A9" s="206" t="s">
        <v>86</v>
      </c>
      <c r="B9" s="275" t="s">
        <v>172</v>
      </c>
      <c r="C9" s="275"/>
      <c r="D9" s="275" t="s">
        <v>173</v>
      </c>
      <c r="E9" s="275"/>
      <c r="F9" s="275" t="s">
        <v>171</v>
      </c>
      <c r="G9" s="275"/>
      <c r="K9" s="81"/>
    </row>
    <row r="10" spans="1:11" ht="18.75" x14ac:dyDescent="0.25">
      <c r="A10" s="206">
        <v>1</v>
      </c>
      <c r="B10" s="275">
        <v>2</v>
      </c>
      <c r="C10" s="275"/>
      <c r="D10" s="275">
        <v>3</v>
      </c>
      <c r="E10" s="275"/>
      <c r="F10" s="275">
        <v>4</v>
      </c>
      <c r="G10" s="275"/>
    </row>
    <row r="11" spans="1:11" ht="56.25" x14ac:dyDescent="0.25">
      <c r="A11" s="13" t="s">
        <v>170</v>
      </c>
      <c r="B11" s="275" t="s">
        <v>117</v>
      </c>
      <c r="C11" s="275"/>
      <c r="D11" s="275" t="s">
        <v>117</v>
      </c>
      <c r="E11" s="275"/>
      <c r="F11" s="281">
        <f>'гос.задание на 2023-2024 год '!E12</f>
        <v>164609021.74000001</v>
      </c>
      <c r="G11" s="281"/>
      <c r="H11" s="50"/>
      <c r="I11" s="50"/>
      <c r="J11" s="50"/>
      <c r="K11" s="50"/>
    </row>
    <row r="12" spans="1:11" ht="18.75" x14ac:dyDescent="0.25">
      <c r="A12" s="203"/>
    </row>
    <row r="13" spans="1:11" ht="48.6" customHeight="1" x14ac:dyDescent="0.25">
      <c r="A13" s="289" t="s">
        <v>475</v>
      </c>
      <c r="B13" s="289"/>
      <c r="C13" s="289"/>
      <c r="D13" s="289"/>
      <c r="E13" s="289"/>
      <c r="F13" s="289"/>
      <c r="G13" s="289"/>
    </row>
    <row r="14" spans="1:11" ht="18.75" x14ac:dyDescent="0.25">
      <c r="A14" s="8"/>
    </row>
    <row r="15" spans="1:11" ht="18.75" x14ac:dyDescent="0.25">
      <c r="A15" s="274" t="s">
        <v>189</v>
      </c>
      <c r="B15" s="274"/>
      <c r="C15" s="274"/>
      <c r="D15" s="274"/>
      <c r="E15" s="274"/>
      <c r="F15" s="274"/>
      <c r="G15" s="274"/>
    </row>
    <row r="16" spans="1:11" ht="18.75" x14ac:dyDescent="0.25">
      <c r="A16" s="9"/>
    </row>
    <row r="17" spans="1:7" ht="18.75" x14ac:dyDescent="0.3">
      <c r="A17" s="9" t="s">
        <v>145</v>
      </c>
      <c r="B17" s="10">
        <v>111</v>
      </c>
    </row>
    <row r="18" spans="1:7" x14ac:dyDescent="0.25">
      <c r="A18" s="11"/>
    </row>
    <row r="19" spans="1:7" ht="18.75" customHeight="1" x14ac:dyDescent="0.25">
      <c r="A19" s="275" t="s">
        <v>76</v>
      </c>
      <c r="B19" s="275" t="s">
        <v>77</v>
      </c>
      <c r="C19" s="275" t="s">
        <v>78</v>
      </c>
      <c r="D19" s="275"/>
      <c r="E19" s="275"/>
      <c r="F19" s="275"/>
      <c r="G19" s="275" t="s">
        <v>79</v>
      </c>
    </row>
    <row r="20" spans="1:7" ht="18.75" x14ac:dyDescent="0.25">
      <c r="A20" s="275"/>
      <c r="B20" s="275"/>
      <c r="C20" s="275" t="s">
        <v>80</v>
      </c>
      <c r="D20" s="275" t="s">
        <v>6</v>
      </c>
      <c r="E20" s="275"/>
      <c r="F20" s="275"/>
      <c r="G20" s="275"/>
    </row>
    <row r="21" spans="1:7" ht="75" x14ac:dyDescent="0.25">
      <c r="A21" s="275"/>
      <c r="B21" s="275"/>
      <c r="C21" s="275"/>
      <c r="D21" s="12" t="s">
        <v>81</v>
      </c>
      <c r="E21" s="12" t="s">
        <v>82</v>
      </c>
      <c r="F21" s="12" t="s">
        <v>83</v>
      </c>
      <c r="G21" s="275"/>
    </row>
    <row r="22" spans="1:7" ht="18.75" x14ac:dyDescent="0.25">
      <c r="A22" s="206">
        <v>1</v>
      </c>
      <c r="B22" s="206">
        <v>2</v>
      </c>
      <c r="C22" s="206">
        <v>3</v>
      </c>
      <c r="D22" s="206">
        <v>4</v>
      </c>
      <c r="E22" s="206">
        <v>4</v>
      </c>
      <c r="F22" s="206">
        <v>5</v>
      </c>
      <c r="G22" s="206">
        <v>7</v>
      </c>
    </row>
    <row r="23" spans="1:7" ht="15.75" x14ac:dyDescent="0.25">
      <c r="A23" s="128" t="s">
        <v>306</v>
      </c>
      <c r="B23" s="129">
        <v>1</v>
      </c>
      <c r="C23" s="130">
        <f t="shared" ref="C23:C36" si="0">D23+E23+F23</f>
        <v>55808</v>
      </c>
      <c r="D23" s="130">
        <v>17440</v>
      </c>
      <c r="E23" s="131"/>
      <c r="F23" s="132">
        <f>D23*220%</f>
        <v>38368</v>
      </c>
      <c r="G23" s="133">
        <f>C23*B23*12</f>
        <v>669696</v>
      </c>
    </row>
    <row r="24" spans="1:7" ht="31.5" x14ac:dyDescent="0.25">
      <c r="A24" s="134" t="s">
        <v>307</v>
      </c>
      <c r="B24" s="135">
        <v>1</v>
      </c>
      <c r="C24" s="130">
        <f t="shared" si="0"/>
        <v>45518.399999999994</v>
      </c>
      <c r="D24" s="136">
        <v>15696</v>
      </c>
      <c r="E24" s="131"/>
      <c r="F24" s="132">
        <f>D24*190%</f>
        <v>29822.399999999998</v>
      </c>
      <c r="G24" s="133">
        <f t="shared" ref="G24:G65" si="1">C24*B24*12</f>
        <v>546220.79999999993</v>
      </c>
    </row>
    <row r="25" spans="1:7" ht="63" x14ac:dyDescent="0.25">
      <c r="A25" s="137" t="s">
        <v>308</v>
      </c>
      <c r="B25" s="135">
        <v>1</v>
      </c>
      <c r="C25" s="130">
        <f t="shared" si="0"/>
        <v>45518.399999999994</v>
      </c>
      <c r="D25" s="136">
        <v>15696</v>
      </c>
      <c r="E25" s="131"/>
      <c r="F25" s="132">
        <f>D25*190%</f>
        <v>29822.399999999998</v>
      </c>
      <c r="G25" s="133">
        <f t="shared" si="1"/>
        <v>546220.79999999993</v>
      </c>
    </row>
    <row r="26" spans="1:7" ht="45.75" customHeight="1" x14ac:dyDescent="0.25">
      <c r="A26" s="134" t="s">
        <v>439</v>
      </c>
      <c r="B26" s="135">
        <v>1</v>
      </c>
      <c r="C26" s="130">
        <f t="shared" si="0"/>
        <v>47088</v>
      </c>
      <c r="D26" s="136">
        <v>15696</v>
      </c>
      <c r="E26" s="131"/>
      <c r="F26" s="132">
        <f>D26*200%</f>
        <v>31392</v>
      </c>
      <c r="G26" s="133">
        <f t="shared" si="1"/>
        <v>565056</v>
      </c>
    </row>
    <row r="27" spans="1:7" ht="15" customHeight="1" x14ac:dyDescent="0.25">
      <c r="A27" s="134" t="s">
        <v>338</v>
      </c>
      <c r="B27" s="135">
        <v>1</v>
      </c>
      <c r="C27" s="130">
        <f t="shared" si="0"/>
        <v>41010</v>
      </c>
      <c r="D27" s="136">
        <v>13670</v>
      </c>
      <c r="E27" s="131"/>
      <c r="F27" s="132">
        <f>D27*200%</f>
        <v>27340</v>
      </c>
      <c r="G27" s="133">
        <f t="shared" si="1"/>
        <v>492120</v>
      </c>
    </row>
    <row r="28" spans="1:7" ht="15.75" x14ac:dyDescent="0.25">
      <c r="A28" s="134" t="s">
        <v>309</v>
      </c>
      <c r="B28" s="135">
        <v>1</v>
      </c>
      <c r="C28" s="130">
        <f t="shared" si="0"/>
        <v>50227.200000000004</v>
      </c>
      <c r="D28" s="136">
        <v>15696</v>
      </c>
      <c r="E28" s="131"/>
      <c r="F28" s="132">
        <f>D28*220%</f>
        <v>34531.200000000004</v>
      </c>
      <c r="G28" s="133">
        <f t="shared" si="1"/>
        <v>602726.40000000002</v>
      </c>
    </row>
    <row r="29" spans="1:7" ht="15.75" x14ac:dyDescent="0.25">
      <c r="A29" s="134" t="s">
        <v>339</v>
      </c>
      <c r="B29" s="135">
        <v>1</v>
      </c>
      <c r="C29" s="130">
        <f>D29+E29+F29</f>
        <v>35420</v>
      </c>
      <c r="D29" s="136">
        <v>11000</v>
      </c>
      <c r="E29" s="131"/>
      <c r="F29" s="132">
        <f>D29*222%</f>
        <v>24420.000000000004</v>
      </c>
      <c r="G29" s="133">
        <f>C29*B29*12</f>
        <v>425040</v>
      </c>
    </row>
    <row r="30" spans="1:7" ht="15.75" x14ac:dyDescent="0.25">
      <c r="A30" s="180" t="s">
        <v>312</v>
      </c>
      <c r="B30" s="181">
        <f>SUM(B23:B29)</f>
        <v>7</v>
      </c>
      <c r="C30" s="182">
        <f>SUM(C23:C29)</f>
        <v>320590</v>
      </c>
      <c r="D30" s="183">
        <f>SUM(D23:D29)</f>
        <v>104894</v>
      </c>
      <c r="E30" s="147"/>
      <c r="F30" s="148">
        <f>SUM(F23:F29)</f>
        <v>215696</v>
      </c>
      <c r="G30" s="184">
        <f>SUM(G23:G29)</f>
        <v>3847079.9999999995</v>
      </c>
    </row>
    <row r="31" spans="1:7" ht="15.75" x14ac:dyDescent="0.25">
      <c r="A31" s="293" t="s">
        <v>359</v>
      </c>
      <c r="B31" s="294"/>
      <c r="C31" s="294"/>
      <c r="D31" s="294"/>
      <c r="E31" s="294"/>
      <c r="F31" s="294"/>
      <c r="G31" s="295"/>
    </row>
    <row r="32" spans="1:7" ht="15.75" x14ac:dyDescent="0.25">
      <c r="A32" s="134" t="s">
        <v>357</v>
      </c>
      <c r="B32" s="135">
        <v>1</v>
      </c>
      <c r="C32" s="130">
        <f t="shared" ref="C32" si="2">D32+E32+F32</f>
        <v>43744</v>
      </c>
      <c r="D32" s="136">
        <v>13670</v>
      </c>
      <c r="E32" s="131"/>
      <c r="F32" s="132">
        <f t="shared" ref="F32:F34" si="3">D32*220%</f>
        <v>30074.000000000004</v>
      </c>
      <c r="G32" s="133">
        <f>C32*B32*12</f>
        <v>524928</v>
      </c>
    </row>
    <row r="33" spans="1:7" ht="15.75" x14ac:dyDescent="0.25">
      <c r="A33" s="134" t="s">
        <v>310</v>
      </c>
      <c r="B33" s="135">
        <v>1</v>
      </c>
      <c r="C33" s="130">
        <f t="shared" si="0"/>
        <v>43744</v>
      </c>
      <c r="D33" s="136">
        <v>13670</v>
      </c>
      <c r="E33" s="131"/>
      <c r="F33" s="132">
        <f t="shared" si="3"/>
        <v>30074.000000000004</v>
      </c>
      <c r="G33" s="133">
        <f t="shared" si="1"/>
        <v>524928</v>
      </c>
    </row>
    <row r="34" spans="1:7" ht="15.75" x14ac:dyDescent="0.25">
      <c r="A34" s="134" t="s">
        <v>340</v>
      </c>
      <c r="B34" s="135">
        <v>1</v>
      </c>
      <c r="C34" s="130">
        <f t="shared" si="0"/>
        <v>43744</v>
      </c>
      <c r="D34" s="136">
        <v>13670</v>
      </c>
      <c r="E34" s="131"/>
      <c r="F34" s="132">
        <f t="shared" si="3"/>
        <v>30074.000000000004</v>
      </c>
      <c r="G34" s="133">
        <f t="shared" si="1"/>
        <v>524928</v>
      </c>
    </row>
    <row r="35" spans="1:7" ht="15.75" x14ac:dyDescent="0.25">
      <c r="A35" s="134" t="s">
        <v>360</v>
      </c>
      <c r="B35" s="135">
        <v>1</v>
      </c>
      <c r="C35" s="130">
        <f t="shared" si="0"/>
        <v>39180</v>
      </c>
      <c r="D35" s="136">
        <v>13060</v>
      </c>
      <c r="E35" s="131"/>
      <c r="F35" s="132">
        <f>D35*200%</f>
        <v>26120</v>
      </c>
      <c r="G35" s="133">
        <f t="shared" si="1"/>
        <v>470160</v>
      </c>
    </row>
    <row r="36" spans="1:7" ht="15.75" x14ac:dyDescent="0.25">
      <c r="A36" s="138" t="s">
        <v>353</v>
      </c>
      <c r="B36" s="139">
        <v>1</v>
      </c>
      <c r="C36" s="130">
        <f t="shared" si="0"/>
        <v>39180</v>
      </c>
      <c r="D36" s="140">
        <v>13060</v>
      </c>
      <c r="E36" s="131"/>
      <c r="F36" s="132">
        <f>D36*200%</f>
        <v>26120</v>
      </c>
      <c r="G36" s="133">
        <f>C36*B36*12</f>
        <v>470160</v>
      </c>
    </row>
    <row r="37" spans="1:7" ht="15.75" customHeight="1" x14ac:dyDescent="0.25">
      <c r="A37" s="141" t="s">
        <v>312</v>
      </c>
      <c r="B37" s="142">
        <f>SUM(B32:B36)</f>
        <v>5</v>
      </c>
      <c r="C37" s="143">
        <f>SUM(C32:C36)</f>
        <v>209592</v>
      </c>
      <c r="D37" s="143">
        <f>SUM(D32:D36)</f>
        <v>67130</v>
      </c>
      <c r="E37" s="143"/>
      <c r="F37" s="144">
        <f>SUM(F32:F36)</f>
        <v>142462</v>
      </c>
      <c r="G37" s="143">
        <f>SUM(G32:G36)</f>
        <v>2515104</v>
      </c>
    </row>
    <row r="38" spans="1:7" ht="15.75" customHeight="1" x14ac:dyDescent="0.25">
      <c r="A38" s="268" t="s">
        <v>313</v>
      </c>
      <c r="B38" s="269"/>
      <c r="C38" s="269"/>
      <c r="D38" s="269"/>
      <c r="E38" s="269"/>
      <c r="F38" s="269"/>
      <c r="G38" s="270"/>
    </row>
    <row r="39" spans="1:7" ht="15.75" x14ac:dyDescent="0.25">
      <c r="A39" s="145" t="s">
        <v>314</v>
      </c>
      <c r="B39" s="135">
        <v>1</v>
      </c>
      <c r="C39" s="136">
        <f>D39+E39+F39</f>
        <v>43744</v>
      </c>
      <c r="D39" s="136">
        <v>13670</v>
      </c>
      <c r="E39" s="131"/>
      <c r="F39" s="132">
        <f t="shared" ref="F39" si="4">D39*220%</f>
        <v>30074.000000000004</v>
      </c>
      <c r="G39" s="133">
        <f t="shared" si="1"/>
        <v>524928</v>
      </c>
    </row>
    <row r="40" spans="1:7" ht="15.75" x14ac:dyDescent="0.25">
      <c r="A40" s="145" t="s">
        <v>354</v>
      </c>
      <c r="B40" s="135">
        <v>1</v>
      </c>
      <c r="C40" s="136">
        <f>D40+E40+F40</f>
        <v>39180</v>
      </c>
      <c r="D40" s="136">
        <v>13060</v>
      </c>
      <c r="E40" s="131"/>
      <c r="F40" s="132">
        <f>D40*200%</f>
        <v>26120</v>
      </c>
      <c r="G40" s="133">
        <f>C40*B40*12</f>
        <v>470160</v>
      </c>
    </row>
    <row r="41" spans="1:7" ht="15.75" x14ac:dyDescent="0.25">
      <c r="A41" s="141" t="s">
        <v>312</v>
      </c>
      <c r="B41" s="142">
        <f>SUM(B39:B40)</f>
        <v>2</v>
      </c>
      <c r="C41" s="146">
        <f>SUM(C39:C40)</f>
        <v>82924</v>
      </c>
      <c r="D41" s="147">
        <f>SUM(D39:D40)</f>
        <v>26730</v>
      </c>
      <c r="E41" s="147">
        <f ca="1">SUM(E39:E45)</f>
        <v>0</v>
      </c>
      <c r="F41" s="148">
        <f>SUM(F39:F40)</f>
        <v>56194</v>
      </c>
      <c r="G41" s="143">
        <f>SUM(G39:G40)</f>
        <v>995088</v>
      </c>
    </row>
    <row r="42" spans="1:7" ht="15.75" x14ac:dyDescent="0.25">
      <c r="A42" s="268" t="s">
        <v>315</v>
      </c>
      <c r="B42" s="269"/>
      <c r="C42" s="269"/>
      <c r="D42" s="269"/>
      <c r="E42" s="269"/>
      <c r="F42" s="269"/>
      <c r="G42" s="270"/>
    </row>
    <row r="43" spans="1:7" ht="15.75" x14ac:dyDescent="0.25">
      <c r="A43" s="145" t="s">
        <v>316</v>
      </c>
      <c r="B43" s="135">
        <v>2</v>
      </c>
      <c r="C43" s="136">
        <f>D43+E43+F43</f>
        <v>28072</v>
      </c>
      <c r="D43" s="136">
        <v>12760</v>
      </c>
      <c r="E43" s="131"/>
      <c r="F43" s="132">
        <f>D43*120%</f>
        <v>15312</v>
      </c>
      <c r="G43" s="133">
        <f t="shared" si="1"/>
        <v>673728</v>
      </c>
    </row>
    <row r="44" spans="1:7" ht="15.75" x14ac:dyDescent="0.25">
      <c r="A44" s="145" t="s">
        <v>317</v>
      </c>
      <c r="B44" s="135">
        <v>7</v>
      </c>
      <c r="C44" s="136">
        <f>D44+E44+F44</f>
        <v>19108</v>
      </c>
      <c r="D44" s="136">
        <v>11240</v>
      </c>
      <c r="E44" s="131"/>
      <c r="F44" s="132">
        <f>D44*70%</f>
        <v>7867.9999999999991</v>
      </c>
      <c r="G44" s="133">
        <f t="shared" si="1"/>
        <v>1605072</v>
      </c>
    </row>
    <row r="45" spans="1:7" ht="15.75" x14ac:dyDescent="0.25">
      <c r="A45" s="145" t="s">
        <v>366</v>
      </c>
      <c r="B45" s="135">
        <v>3</v>
      </c>
      <c r="C45" s="136">
        <f>D45+E45+F45</f>
        <v>21135.5</v>
      </c>
      <c r="D45" s="136">
        <v>10310</v>
      </c>
      <c r="E45" s="131"/>
      <c r="F45" s="132">
        <f>D45*105%</f>
        <v>10825.5</v>
      </c>
      <c r="G45" s="133">
        <f>C45*B45*12</f>
        <v>760878</v>
      </c>
    </row>
    <row r="46" spans="1:7" ht="15.75" customHeight="1" x14ac:dyDescent="0.25">
      <c r="A46" s="141" t="s">
        <v>312</v>
      </c>
      <c r="B46" s="142">
        <f>SUM(B43:B45)</f>
        <v>12</v>
      </c>
      <c r="C46" s="146">
        <f>SUM(C43:C45)</f>
        <v>68315.5</v>
      </c>
      <c r="D46" s="146">
        <f>SUM(D43:D45)</f>
        <v>34310</v>
      </c>
      <c r="E46" s="146">
        <f t="shared" ref="E46" si="5">SUM(E43:E44)</f>
        <v>0</v>
      </c>
      <c r="F46" s="149">
        <f>SUM(F43:F45)</f>
        <v>34005.5</v>
      </c>
      <c r="G46" s="143">
        <f>SUM(G43:G45)</f>
        <v>3039678</v>
      </c>
    </row>
    <row r="47" spans="1:7" ht="30" customHeight="1" x14ac:dyDescent="0.25">
      <c r="A47" s="271" t="s">
        <v>318</v>
      </c>
      <c r="B47" s="272"/>
      <c r="C47" s="272"/>
      <c r="D47" s="272"/>
      <c r="E47" s="272"/>
      <c r="F47" s="272"/>
      <c r="G47" s="273"/>
    </row>
    <row r="48" spans="1:7" ht="47.25" x14ac:dyDescent="0.25">
      <c r="A48" s="145" t="s">
        <v>319</v>
      </c>
      <c r="B48" s="135">
        <v>2</v>
      </c>
      <c r="C48" s="136">
        <f t="shared" ref="C48:C54" si="6">D48+E48+F48</f>
        <v>32064</v>
      </c>
      <c r="D48" s="136">
        <v>13360</v>
      </c>
      <c r="E48" s="131"/>
      <c r="F48" s="132">
        <f>D48*140%</f>
        <v>18704</v>
      </c>
      <c r="G48" s="133">
        <f t="shared" si="1"/>
        <v>769536</v>
      </c>
    </row>
    <row r="49" spans="1:7" ht="15.75" x14ac:dyDescent="0.25">
      <c r="A49" s="145" t="s">
        <v>320</v>
      </c>
      <c r="B49" s="135">
        <v>3</v>
      </c>
      <c r="C49" s="136">
        <f t="shared" si="6"/>
        <v>32064</v>
      </c>
      <c r="D49" s="136">
        <v>13360</v>
      </c>
      <c r="E49" s="131"/>
      <c r="F49" s="132">
        <f>D49*140%</f>
        <v>18704</v>
      </c>
      <c r="G49" s="133">
        <f>C49*B49*12</f>
        <v>1154304</v>
      </c>
    </row>
    <row r="50" spans="1:7" ht="15.75" x14ac:dyDescent="0.25">
      <c r="A50" s="145" t="s">
        <v>321</v>
      </c>
      <c r="B50" s="135">
        <v>2</v>
      </c>
      <c r="C50" s="136">
        <f t="shared" si="6"/>
        <v>34188</v>
      </c>
      <c r="D50" s="136">
        <v>12210</v>
      </c>
      <c r="E50" s="131"/>
      <c r="F50" s="132">
        <f>D50*180%</f>
        <v>21978</v>
      </c>
      <c r="G50" s="133">
        <f t="shared" si="1"/>
        <v>820512</v>
      </c>
    </row>
    <row r="51" spans="1:7" ht="15.75" x14ac:dyDescent="0.25">
      <c r="A51" s="145" t="s">
        <v>322</v>
      </c>
      <c r="B51" s="135">
        <v>7</v>
      </c>
      <c r="C51" s="136">
        <f t="shared" si="6"/>
        <v>33956</v>
      </c>
      <c r="D51" s="136">
        <v>13060</v>
      </c>
      <c r="E51" s="131"/>
      <c r="F51" s="132">
        <f>D51*160%</f>
        <v>20896</v>
      </c>
      <c r="G51" s="133">
        <f>C51*B51*12</f>
        <v>2852304</v>
      </c>
    </row>
    <row r="52" spans="1:7" ht="31.5" x14ac:dyDescent="0.25">
      <c r="A52" s="138" t="s">
        <v>311</v>
      </c>
      <c r="B52" s="139">
        <v>1</v>
      </c>
      <c r="C52" s="130">
        <f t="shared" si="6"/>
        <v>33956</v>
      </c>
      <c r="D52" s="140">
        <v>13060</v>
      </c>
      <c r="E52" s="131"/>
      <c r="F52" s="132">
        <f>D52*160%</f>
        <v>20896</v>
      </c>
      <c r="G52" s="133">
        <f>C52*B52*12</f>
        <v>407472</v>
      </c>
    </row>
    <row r="53" spans="1:7" ht="15.75" customHeight="1" x14ac:dyDescent="0.25">
      <c r="A53" s="162" t="s">
        <v>363</v>
      </c>
      <c r="B53" s="135">
        <v>1</v>
      </c>
      <c r="C53" s="136">
        <f t="shared" si="6"/>
        <v>26862</v>
      </c>
      <c r="D53" s="136">
        <v>12210</v>
      </c>
      <c r="E53" s="131"/>
      <c r="F53" s="132">
        <f>D53*120%</f>
        <v>14652</v>
      </c>
      <c r="G53" s="133">
        <f>C53*B53*12</f>
        <v>322344</v>
      </c>
    </row>
    <row r="54" spans="1:7" ht="15.75" x14ac:dyDescent="0.25">
      <c r="A54" s="162" t="s">
        <v>334</v>
      </c>
      <c r="B54" s="135">
        <v>1</v>
      </c>
      <c r="C54" s="136">
        <f t="shared" si="6"/>
        <v>32967</v>
      </c>
      <c r="D54" s="136">
        <v>12210</v>
      </c>
      <c r="E54" s="131"/>
      <c r="F54" s="132">
        <f>D54*170%</f>
        <v>20757</v>
      </c>
      <c r="G54" s="133">
        <f>C54*B54*12</f>
        <v>395604</v>
      </c>
    </row>
    <row r="55" spans="1:7" ht="15.75" x14ac:dyDescent="0.25">
      <c r="A55" s="141" t="s">
        <v>312</v>
      </c>
      <c r="B55" s="142">
        <f>SUM(B48:B54)</f>
        <v>17</v>
      </c>
      <c r="C55" s="146">
        <f>SUM(C48:C54)</f>
        <v>226057</v>
      </c>
      <c r="D55" s="146">
        <f>SUM(D48:D54)</f>
        <v>89470</v>
      </c>
      <c r="E55" s="146">
        <f>SUM(E48:E54)</f>
        <v>0</v>
      </c>
      <c r="F55" s="146">
        <f t="shared" ref="F55:G55" si="7">SUM(F48:F54)</f>
        <v>136587</v>
      </c>
      <c r="G55" s="146">
        <f t="shared" si="7"/>
        <v>6722076</v>
      </c>
    </row>
    <row r="56" spans="1:7" ht="15.75" customHeight="1" x14ac:dyDescent="0.25">
      <c r="A56" s="268" t="s">
        <v>323</v>
      </c>
      <c r="B56" s="269"/>
      <c r="C56" s="269"/>
      <c r="D56" s="269"/>
      <c r="E56" s="269"/>
      <c r="F56" s="269"/>
      <c r="G56" s="270"/>
    </row>
    <row r="57" spans="1:7" ht="15.75" x14ac:dyDescent="0.25">
      <c r="A57" s="145" t="s">
        <v>324</v>
      </c>
      <c r="B57" s="135">
        <v>2</v>
      </c>
      <c r="C57" s="136">
        <f>D57+E57+F57</f>
        <v>28083</v>
      </c>
      <c r="D57" s="136">
        <v>12210</v>
      </c>
      <c r="E57" s="131"/>
      <c r="F57" s="132">
        <f>D57*130%</f>
        <v>15873</v>
      </c>
      <c r="G57" s="133">
        <f t="shared" si="1"/>
        <v>673992</v>
      </c>
    </row>
    <row r="58" spans="1:7" ht="15.75" x14ac:dyDescent="0.25">
      <c r="A58" s="145" t="s">
        <v>325</v>
      </c>
      <c r="B58" s="135">
        <v>4</v>
      </c>
      <c r="C58" s="136">
        <f>D58+E58+F58</f>
        <v>28083</v>
      </c>
      <c r="D58" s="136">
        <v>12210</v>
      </c>
      <c r="E58" s="131"/>
      <c r="F58" s="132">
        <f>D58*130%</f>
        <v>15873</v>
      </c>
      <c r="G58" s="133">
        <f t="shared" si="1"/>
        <v>1347984</v>
      </c>
    </row>
    <row r="59" spans="1:7" ht="15.75" x14ac:dyDescent="0.25">
      <c r="A59" s="141" t="s">
        <v>312</v>
      </c>
      <c r="B59" s="142">
        <f t="shared" ref="B59:G59" si="8">SUM(B57:B58)</f>
        <v>6</v>
      </c>
      <c r="C59" s="146">
        <f t="shared" si="8"/>
        <v>56166</v>
      </c>
      <c r="D59" s="147">
        <f t="shared" si="8"/>
        <v>24420</v>
      </c>
      <c r="E59" s="147">
        <f t="shared" si="8"/>
        <v>0</v>
      </c>
      <c r="F59" s="148">
        <f t="shared" si="8"/>
        <v>31746</v>
      </c>
      <c r="G59" s="143">
        <f t="shared" si="8"/>
        <v>2021976</v>
      </c>
    </row>
    <row r="60" spans="1:7" ht="15.75" x14ac:dyDescent="0.25">
      <c r="A60" s="290" t="s">
        <v>326</v>
      </c>
      <c r="B60" s="291"/>
      <c r="C60" s="291"/>
      <c r="D60" s="291"/>
      <c r="E60" s="291"/>
      <c r="F60" s="291"/>
      <c r="G60" s="292"/>
    </row>
    <row r="61" spans="1:7" ht="31.5" x14ac:dyDescent="0.25">
      <c r="A61" s="145" t="s">
        <v>337</v>
      </c>
      <c r="B61" s="135">
        <v>1</v>
      </c>
      <c r="C61" s="136">
        <f t="shared" ref="C61:C67" si="9">D61+E61+F61</f>
        <v>36322</v>
      </c>
      <c r="D61" s="136">
        <v>13970</v>
      </c>
      <c r="E61" s="131"/>
      <c r="F61" s="132">
        <f>D61*160%</f>
        <v>22352</v>
      </c>
      <c r="G61" s="133">
        <f t="shared" ref="G61" si="10">C61*B61*12</f>
        <v>435864</v>
      </c>
    </row>
    <row r="62" spans="1:7" ht="15.75" x14ac:dyDescent="0.25">
      <c r="A62" s="145" t="s">
        <v>335</v>
      </c>
      <c r="B62" s="135">
        <v>1</v>
      </c>
      <c r="C62" s="136">
        <f t="shared" si="9"/>
        <v>25641</v>
      </c>
      <c r="D62" s="136">
        <v>12210</v>
      </c>
      <c r="E62" s="131"/>
      <c r="F62" s="132">
        <f t="shared" ref="F62" si="11">D62*110%</f>
        <v>13431.000000000002</v>
      </c>
      <c r="G62" s="133">
        <f t="shared" si="1"/>
        <v>307692</v>
      </c>
    </row>
    <row r="63" spans="1:7" ht="31.5" x14ac:dyDescent="0.25">
      <c r="A63" s="145" t="s">
        <v>336</v>
      </c>
      <c r="B63" s="135">
        <v>2</v>
      </c>
      <c r="C63" s="136">
        <f>D63+E63+F63</f>
        <v>21540</v>
      </c>
      <c r="D63" s="136">
        <v>10770</v>
      </c>
      <c r="E63" s="131"/>
      <c r="F63" s="132">
        <f>D63*100%</f>
        <v>10770</v>
      </c>
      <c r="G63" s="133">
        <f>C63*B63*12</f>
        <v>516960</v>
      </c>
    </row>
    <row r="64" spans="1:7" ht="15.75" x14ac:dyDescent="0.25">
      <c r="A64" s="145" t="s">
        <v>327</v>
      </c>
      <c r="B64" s="135">
        <v>2</v>
      </c>
      <c r="C64" s="136">
        <f t="shared" si="9"/>
        <v>21540</v>
      </c>
      <c r="D64" s="136">
        <v>10770</v>
      </c>
      <c r="E64" s="131"/>
      <c r="F64" s="132">
        <f>D64*100%</f>
        <v>10770</v>
      </c>
      <c r="G64" s="133">
        <f t="shared" si="1"/>
        <v>516960</v>
      </c>
    </row>
    <row r="65" spans="1:9" ht="15.75" x14ac:dyDescent="0.25">
      <c r="A65" s="145" t="s">
        <v>328</v>
      </c>
      <c r="B65" s="135">
        <v>8</v>
      </c>
      <c r="C65" s="136">
        <f t="shared" si="9"/>
        <v>18500</v>
      </c>
      <c r="D65" s="136">
        <v>9250</v>
      </c>
      <c r="E65" s="131"/>
      <c r="F65" s="132">
        <f>D65*100%</f>
        <v>9250</v>
      </c>
      <c r="G65" s="133">
        <f t="shared" si="1"/>
        <v>1776000</v>
      </c>
    </row>
    <row r="66" spans="1:9" ht="31.5" x14ac:dyDescent="0.25">
      <c r="A66" s="145" t="s">
        <v>329</v>
      </c>
      <c r="B66" s="135">
        <v>3</v>
      </c>
      <c r="C66" s="136">
        <f t="shared" si="9"/>
        <v>18500</v>
      </c>
      <c r="D66" s="136">
        <v>9250</v>
      </c>
      <c r="E66" s="131"/>
      <c r="F66" s="132">
        <f>D66*100%</f>
        <v>9250</v>
      </c>
      <c r="G66" s="133">
        <f>C66*B66*12</f>
        <v>666000</v>
      </c>
    </row>
    <row r="67" spans="1:9" ht="15.75" x14ac:dyDescent="0.25">
      <c r="A67" s="150" t="s">
        <v>330</v>
      </c>
      <c r="B67" s="151">
        <v>1</v>
      </c>
      <c r="C67" s="136">
        <f t="shared" si="9"/>
        <v>28988.5</v>
      </c>
      <c r="D67" s="152">
        <v>11240</v>
      </c>
      <c r="E67" s="131"/>
      <c r="F67" s="132">
        <f>D67*150%+888.5</f>
        <v>17748.5</v>
      </c>
      <c r="G67" s="133">
        <f>C67*B67*12</f>
        <v>347862</v>
      </c>
    </row>
    <row r="68" spans="1:9" ht="16.5" thickBot="1" x14ac:dyDescent="0.3">
      <c r="A68" s="153" t="s">
        <v>312</v>
      </c>
      <c r="B68" s="154">
        <f t="shared" ref="B68" si="12">SUM(B61:B67)</f>
        <v>18</v>
      </c>
      <c r="C68" s="155">
        <f>SUM(C61:C67)</f>
        <v>171031.5</v>
      </c>
      <c r="D68" s="155">
        <f>SUM(D61:D67)</f>
        <v>77460</v>
      </c>
      <c r="E68" s="155"/>
      <c r="F68" s="156">
        <f>SUM(F61:F67)</f>
        <v>93571.5</v>
      </c>
      <c r="G68" s="157">
        <f>SUM(G61:G67)</f>
        <v>4567338</v>
      </c>
    </row>
    <row r="69" spans="1:9" ht="16.5" thickBot="1" x14ac:dyDescent="0.3">
      <c r="A69" s="158" t="s">
        <v>331</v>
      </c>
      <c r="B69" s="159">
        <f>B30+B37+B41+B46+B55+B59+B68</f>
        <v>67</v>
      </c>
      <c r="C69" s="160">
        <f>C30+C37+C41+C46+C55+C59+C68</f>
        <v>1134676</v>
      </c>
      <c r="D69" s="160">
        <f>D30+D37+D41+D46+D55+D59+D68</f>
        <v>424414</v>
      </c>
      <c r="E69" s="160"/>
      <c r="F69" s="160">
        <f>F30+F37+F41+F46+F55+F59+F68</f>
        <v>710262</v>
      </c>
      <c r="G69" s="160">
        <f>G30+G37+G41+G46+G55+G59+G68</f>
        <v>23708340</v>
      </c>
    </row>
    <row r="70" spans="1:9" ht="15.75" x14ac:dyDescent="0.25">
      <c r="A70" s="296" t="s">
        <v>355</v>
      </c>
      <c r="B70" s="297"/>
      <c r="C70" s="297"/>
      <c r="D70" s="297"/>
      <c r="E70" s="297"/>
      <c r="F70" s="297"/>
      <c r="G70" s="298"/>
    </row>
    <row r="71" spans="1:9" ht="15.75" x14ac:dyDescent="0.25">
      <c r="A71" s="128" t="s">
        <v>356</v>
      </c>
      <c r="B71" s="129">
        <v>1</v>
      </c>
      <c r="C71" s="130">
        <f t="shared" ref="C71:C76" si="13">D71+E71+F71</f>
        <v>49402</v>
      </c>
      <c r="D71" s="130">
        <v>14530</v>
      </c>
      <c r="E71" s="131"/>
      <c r="F71" s="132">
        <f>D71*240%</f>
        <v>34872</v>
      </c>
      <c r="G71" s="133">
        <f>C71*B71*12</f>
        <v>592824</v>
      </c>
    </row>
    <row r="72" spans="1:9" ht="15.75" x14ac:dyDescent="0.25">
      <c r="A72" s="134" t="s">
        <v>338</v>
      </c>
      <c r="B72" s="135">
        <v>1</v>
      </c>
      <c r="C72" s="130">
        <f t="shared" si="13"/>
        <v>42377</v>
      </c>
      <c r="D72" s="136">
        <v>13670</v>
      </c>
      <c r="E72" s="131"/>
      <c r="F72" s="132">
        <f>D72*210%</f>
        <v>28707</v>
      </c>
      <c r="G72" s="133">
        <f t="shared" ref="G72:G74" si="14">C72*B72*12</f>
        <v>508524</v>
      </c>
    </row>
    <row r="73" spans="1:9" ht="15.75" x14ac:dyDescent="0.25">
      <c r="A73" s="134" t="s">
        <v>467</v>
      </c>
      <c r="B73" s="135">
        <v>1</v>
      </c>
      <c r="C73" s="130">
        <f t="shared" si="13"/>
        <v>32967</v>
      </c>
      <c r="D73" s="136">
        <v>12210</v>
      </c>
      <c r="E73" s="131"/>
      <c r="F73" s="132">
        <f>D73*170%</f>
        <v>20757</v>
      </c>
      <c r="G73" s="133">
        <f t="shared" si="14"/>
        <v>395604</v>
      </c>
    </row>
    <row r="74" spans="1:9" ht="15.75" x14ac:dyDescent="0.25">
      <c r="A74" s="134" t="s">
        <v>358</v>
      </c>
      <c r="B74" s="135">
        <v>1</v>
      </c>
      <c r="C74" s="130">
        <f t="shared" si="13"/>
        <v>33956</v>
      </c>
      <c r="D74" s="136">
        <v>13060</v>
      </c>
      <c r="E74" s="131"/>
      <c r="F74" s="132">
        <f>D74*160%</f>
        <v>20896</v>
      </c>
      <c r="G74" s="133">
        <f t="shared" si="14"/>
        <v>407472</v>
      </c>
    </row>
    <row r="75" spans="1:9" ht="15.75" x14ac:dyDescent="0.25">
      <c r="A75" s="128" t="s">
        <v>468</v>
      </c>
      <c r="B75" s="129">
        <v>1</v>
      </c>
      <c r="C75" s="130">
        <f t="shared" si="13"/>
        <v>28868</v>
      </c>
      <c r="D75" s="130">
        <v>10310</v>
      </c>
      <c r="E75" s="131"/>
      <c r="F75" s="132">
        <f>D75*180%</f>
        <v>18558</v>
      </c>
      <c r="G75" s="133">
        <f>C75*B75*12</f>
        <v>346416</v>
      </c>
    </row>
    <row r="76" spans="1:9" ht="15.75" x14ac:dyDescent="0.25">
      <c r="A76" s="128" t="s">
        <v>353</v>
      </c>
      <c r="B76" s="129">
        <v>1</v>
      </c>
      <c r="C76" s="130">
        <f t="shared" si="13"/>
        <v>27426</v>
      </c>
      <c r="D76" s="130">
        <v>13060</v>
      </c>
      <c r="E76" s="131"/>
      <c r="F76" s="132">
        <f>D76*110%</f>
        <v>14366.000000000002</v>
      </c>
      <c r="G76" s="133">
        <f>C76*B76*12</f>
        <v>329112</v>
      </c>
    </row>
    <row r="77" spans="1:9" ht="15.75" x14ac:dyDescent="0.25">
      <c r="A77" s="141" t="s">
        <v>312</v>
      </c>
      <c r="B77" s="142">
        <f>SUM(B71:B76)</f>
        <v>6</v>
      </c>
      <c r="C77" s="143">
        <f>SUM(C71:C76)</f>
        <v>214996</v>
      </c>
      <c r="D77" s="143">
        <f>SUM(D71:D76)</f>
        <v>76840</v>
      </c>
      <c r="E77" s="143">
        <f>SUM(E75:E75)</f>
        <v>0</v>
      </c>
      <c r="F77" s="144">
        <f>SUM(F71:F76)</f>
        <v>138156</v>
      </c>
      <c r="G77" s="143">
        <f>SUM(G71:G76)</f>
        <v>2579952</v>
      </c>
    </row>
    <row r="78" spans="1:9" ht="15.75" x14ac:dyDescent="0.25">
      <c r="A78" s="268" t="s">
        <v>315</v>
      </c>
      <c r="B78" s="269"/>
      <c r="C78" s="269"/>
      <c r="D78" s="269"/>
      <c r="E78" s="269"/>
      <c r="F78" s="269"/>
      <c r="G78" s="270"/>
      <c r="H78" s="166"/>
      <c r="I78" s="166"/>
    </row>
    <row r="79" spans="1:9" ht="15.75" x14ac:dyDescent="0.25">
      <c r="A79" s="128" t="s">
        <v>357</v>
      </c>
      <c r="B79" s="129">
        <v>1</v>
      </c>
      <c r="C79" s="130">
        <f t="shared" ref="C79" si="15">D79+E79+F79</f>
        <v>42377</v>
      </c>
      <c r="D79" s="130">
        <v>13670</v>
      </c>
      <c r="E79" s="131"/>
      <c r="F79" s="132">
        <f>D79*210%</f>
        <v>28707</v>
      </c>
      <c r="G79" s="133">
        <f>C79*B79*12</f>
        <v>508524</v>
      </c>
      <c r="H79" s="167"/>
      <c r="I79" s="167"/>
    </row>
    <row r="80" spans="1:9" ht="15.75" x14ac:dyDescent="0.25">
      <c r="A80" s="145" t="s">
        <v>316</v>
      </c>
      <c r="B80" s="135">
        <v>2</v>
      </c>
      <c r="C80" s="136">
        <f>D80+E80+F80</f>
        <v>33176</v>
      </c>
      <c r="D80" s="136">
        <v>12760</v>
      </c>
      <c r="E80" s="131"/>
      <c r="F80" s="132">
        <f>D80*160%</f>
        <v>20416</v>
      </c>
      <c r="G80" s="133">
        <f t="shared" ref="G80:G81" si="16">C80*B80*12</f>
        <v>796224</v>
      </c>
      <c r="H80" s="168"/>
      <c r="I80" s="168"/>
    </row>
    <row r="81" spans="1:9" ht="15.75" x14ac:dyDescent="0.25">
      <c r="A81" s="145" t="s">
        <v>317</v>
      </c>
      <c r="B81" s="135">
        <v>9</v>
      </c>
      <c r="C81" s="136">
        <f>D81+E81+F81</f>
        <v>21356</v>
      </c>
      <c r="D81" s="136">
        <v>11240</v>
      </c>
      <c r="E81" s="131"/>
      <c r="F81" s="132">
        <f>D81*90%</f>
        <v>10116</v>
      </c>
      <c r="G81" s="133">
        <f t="shared" si="16"/>
        <v>2306448</v>
      </c>
      <c r="H81" s="168"/>
      <c r="I81" s="168"/>
    </row>
    <row r="82" spans="1:9" ht="15.75" customHeight="1" x14ac:dyDescent="0.25">
      <c r="A82" s="145" t="s">
        <v>366</v>
      </c>
      <c r="B82" s="135">
        <v>4</v>
      </c>
      <c r="C82" s="136">
        <f>D82+E82+F82</f>
        <v>22682</v>
      </c>
      <c r="D82" s="136">
        <v>10310</v>
      </c>
      <c r="E82" s="131"/>
      <c r="F82" s="132">
        <f>D82*120%</f>
        <v>12372</v>
      </c>
      <c r="G82" s="133">
        <f>C82*B82*12</f>
        <v>1088736</v>
      </c>
      <c r="H82" s="168"/>
      <c r="I82" s="168"/>
    </row>
    <row r="83" spans="1:9" ht="15.75" x14ac:dyDescent="0.25">
      <c r="A83" s="145" t="s">
        <v>332</v>
      </c>
      <c r="B83" s="135">
        <v>1</v>
      </c>
      <c r="C83" s="136">
        <f>D83+E83+F83</f>
        <v>22682</v>
      </c>
      <c r="D83" s="136">
        <v>10310</v>
      </c>
      <c r="E83" s="131"/>
      <c r="F83" s="132">
        <f>D83*120%</f>
        <v>12372</v>
      </c>
      <c r="G83" s="133">
        <f>C83*B83*12</f>
        <v>272184</v>
      </c>
      <c r="H83" s="168"/>
      <c r="I83" s="168"/>
    </row>
    <row r="84" spans="1:9" ht="15.75" x14ac:dyDescent="0.25">
      <c r="A84" s="141" t="s">
        <v>312</v>
      </c>
      <c r="B84" s="142">
        <f t="shared" ref="B84:G84" si="17">SUM(B79:B83)</f>
        <v>17</v>
      </c>
      <c r="C84" s="146">
        <f>SUM(C79:C83)</f>
        <v>142273</v>
      </c>
      <c r="D84" s="146">
        <f t="shared" si="17"/>
        <v>58290</v>
      </c>
      <c r="E84" s="146">
        <f t="shared" si="17"/>
        <v>0</v>
      </c>
      <c r="F84" s="149">
        <f t="shared" si="17"/>
        <v>83983</v>
      </c>
      <c r="G84" s="143">
        <f t="shared" si="17"/>
        <v>4972116</v>
      </c>
      <c r="H84" s="168"/>
      <c r="I84" s="168"/>
    </row>
    <row r="85" spans="1:9" ht="15.75" customHeight="1" x14ac:dyDescent="0.25">
      <c r="A85" s="271" t="s">
        <v>318</v>
      </c>
      <c r="B85" s="272"/>
      <c r="C85" s="272"/>
      <c r="D85" s="272"/>
      <c r="E85" s="272"/>
      <c r="F85" s="272"/>
      <c r="G85" s="273"/>
    </row>
    <row r="86" spans="1:9" ht="15.75" x14ac:dyDescent="0.25">
      <c r="A86" s="128" t="s">
        <v>357</v>
      </c>
      <c r="B86" s="129">
        <v>1</v>
      </c>
      <c r="C86" s="130">
        <f t="shared" ref="C86:C93" si="18">D86+E86+F86</f>
        <v>42377</v>
      </c>
      <c r="D86" s="130">
        <v>13670</v>
      </c>
      <c r="E86" s="131"/>
      <c r="F86" s="132">
        <f>D86*210%</f>
        <v>28707</v>
      </c>
      <c r="G86" s="133">
        <f>C86*B86*12</f>
        <v>508524</v>
      </c>
    </row>
    <row r="87" spans="1:9" ht="31.5" x14ac:dyDescent="0.25">
      <c r="A87" s="145" t="s">
        <v>333</v>
      </c>
      <c r="B87" s="135">
        <v>1</v>
      </c>
      <c r="C87" s="136">
        <f t="shared" si="18"/>
        <v>37408</v>
      </c>
      <c r="D87" s="136">
        <v>13360</v>
      </c>
      <c r="E87" s="131"/>
      <c r="F87" s="132">
        <f>D87*180%</f>
        <v>24048</v>
      </c>
      <c r="G87" s="133">
        <f t="shared" ref="G87:G90" si="19">C87*B87*12</f>
        <v>448896</v>
      </c>
    </row>
    <row r="88" spans="1:9" ht="31.5" x14ac:dyDescent="0.25">
      <c r="A88" s="145" t="s">
        <v>361</v>
      </c>
      <c r="B88" s="135">
        <v>1</v>
      </c>
      <c r="C88" s="136">
        <f t="shared" si="18"/>
        <v>37408</v>
      </c>
      <c r="D88" s="136">
        <v>13360</v>
      </c>
      <c r="E88" s="131"/>
      <c r="F88" s="132">
        <f>D88*180%</f>
        <v>24048</v>
      </c>
      <c r="G88" s="133">
        <f t="shared" si="19"/>
        <v>448896</v>
      </c>
    </row>
    <row r="89" spans="1:9" ht="15.75" x14ac:dyDescent="0.25">
      <c r="A89" s="145" t="s">
        <v>320</v>
      </c>
      <c r="B89" s="135">
        <v>3</v>
      </c>
      <c r="C89" s="136">
        <f t="shared" si="18"/>
        <v>37408</v>
      </c>
      <c r="D89" s="136">
        <v>13360</v>
      </c>
      <c r="E89" s="131"/>
      <c r="F89" s="132">
        <f>D89*180%</f>
        <v>24048</v>
      </c>
      <c r="G89" s="133">
        <f t="shared" si="19"/>
        <v>1346688</v>
      </c>
    </row>
    <row r="90" spans="1:9" ht="15.75" x14ac:dyDescent="0.25">
      <c r="A90" s="145" t="s">
        <v>321</v>
      </c>
      <c r="B90" s="135">
        <v>2</v>
      </c>
      <c r="C90" s="136">
        <f t="shared" si="18"/>
        <v>32967</v>
      </c>
      <c r="D90" s="136">
        <v>12210</v>
      </c>
      <c r="E90" s="131"/>
      <c r="F90" s="132">
        <f>D90*170%</f>
        <v>20757</v>
      </c>
      <c r="G90" s="133">
        <f t="shared" si="19"/>
        <v>791208</v>
      </c>
    </row>
    <row r="91" spans="1:9" ht="15.75" x14ac:dyDescent="0.25">
      <c r="A91" s="145" t="s">
        <v>322</v>
      </c>
      <c r="B91" s="135">
        <v>6</v>
      </c>
      <c r="C91" s="136">
        <f t="shared" si="18"/>
        <v>35262</v>
      </c>
      <c r="D91" s="136">
        <v>13060</v>
      </c>
      <c r="E91" s="131"/>
      <c r="F91" s="132">
        <f>D91*170%</f>
        <v>22202</v>
      </c>
      <c r="G91" s="133">
        <f>C91*B91*12</f>
        <v>2538864</v>
      </c>
    </row>
    <row r="92" spans="1:9" ht="31.5" x14ac:dyDescent="0.25">
      <c r="A92" s="145" t="s">
        <v>362</v>
      </c>
      <c r="B92" s="135">
        <v>1</v>
      </c>
      <c r="C92" s="136">
        <f t="shared" si="18"/>
        <v>33669</v>
      </c>
      <c r="D92" s="136">
        <v>12470</v>
      </c>
      <c r="E92" s="131"/>
      <c r="F92" s="132">
        <f>D92*170%</f>
        <v>21199</v>
      </c>
      <c r="G92" s="133">
        <f>C92*B92*12</f>
        <v>404028</v>
      </c>
    </row>
    <row r="93" spans="1:9" ht="15.75" customHeight="1" x14ac:dyDescent="0.25">
      <c r="A93" s="145" t="s">
        <v>363</v>
      </c>
      <c r="B93" s="135">
        <v>1</v>
      </c>
      <c r="C93" s="136">
        <f t="shared" si="18"/>
        <v>30525</v>
      </c>
      <c r="D93" s="136">
        <v>12210</v>
      </c>
      <c r="E93" s="131"/>
      <c r="F93" s="132">
        <f>D93*150%</f>
        <v>18315</v>
      </c>
      <c r="G93" s="133">
        <f>C93*B93*12</f>
        <v>366300</v>
      </c>
    </row>
    <row r="94" spans="1:9" ht="15.75" x14ac:dyDescent="0.25">
      <c r="A94" s="162" t="s">
        <v>334</v>
      </c>
      <c r="B94" s="135">
        <v>1</v>
      </c>
      <c r="C94" s="136">
        <f>D94+E94+F94</f>
        <v>31746</v>
      </c>
      <c r="D94" s="136">
        <v>12210</v>
      </c>
      <c r="E94" s="131"/>
      <c r="F94" s="132">
        <f>D94*160%</f>
        <v>19536</v>
      </c>
      <c r="G94" s="133">
        <f>C94*B94*12</f>
        <v>380952</v>
      </c>
    </row>
    <row r="95" spans="1:9" ht="31.5" x14ac:dyDescent="0.25">
      <c r="A95" s="138" t="s">
        <v>311</v>
      </c>
      <c r="B95" s="139">
        <v>1</v>
      </c>
      <c r="C95" s="130">
        <f>D95+E95+F95</f>
        <v>35262</v>
      </c>
      <c r="D95" s="140">
        <v>13060</v>
      </c>
      <c r="E95" s="131"/>
      <c r="F95" s="132">
        <f>D95*170%</f>
        <v>22202</v>
      </c>
      <c r="G95" s="133">
        <f>C95*B95*12</f>
        <v>423144</v>
      </c>
    </row>
    <row r="96" spans="1:9" ht="15.75" x14ac:dyDescent="0.25">
      <c r="A96" s="141" t="s">
        <v>312</v>
      </c>
      <c r="B96" s="142">
        <f>SUM(B86:B95)</f>
        <v>18</v>
      </c>
      <c r="C96" s="146">
        <f>SUM(C86:C95)</f>
        <v>354032</v>
      </c>
      <c r="D96" s="146">
        <f>SUM(D86:D95)</f>
        <v>128970</v>
      </c>
      <c r="E96" s="146">
        <f t="shared" ref="E96" si="20">SUM(E86:E93)</f>
        <v>0</v>
      </c>
      <c r="F96" s="149">
        <f>SUM(F86:F95)</f>
        <v>225062</v>
      </c>
      <c r="G96" s="143">
        <f>SUM(G86:G95)</f>
        <v>7657500</v>
      </c>
    </row>
    <row r="97" spans="1:7" ht="15.75" customHeight="1" x14ac:dyDescent="0.25">
      <c r="A97" s="268" t="s">
        <v>323</v>
      </c>
      <c r="B97" s="269"/>
      <c r="C97" s="269"/>
      <c r="D97" s="269"/>
      <c r="E97" s="269"/>
      <c r="F97" s="269"/>
      <c r="G97" s="270"/>
    </row>
    <row r="98" spans="1:7" ht="15.75" x14ac:dyDescent="0.25">
      <c r="A98" s="128" t="s">
        <v>357</v>
      </c>
      <c r="B98" s="129">
        <v>1</v>
      </c>
      <c r="C98" s="130">
        <f t="shared" ref="C98" si="21">D98+E98+F98</f>
        <v>41010</v>
      </c>
      <c r="D98" s="130">
        <v>13670</v>
      </c>
      <c r="E98" s="131"/>
      <c r="F98" s="132">
        <f>D98*200%</f>
        <v>27340</v>
      </c>
      <c r="G98" s="133">
        <f>C98*B98*12</f>
        <v>492120</v>
      </c>
    </row>
    <row r="99" spans="1:7" ht="15.75" x14ac:dyDescent="0.25">
      <c r="A99" s="145" t="s">
        <v>324</v>
      </c>
      <c r="B99" s="135">
        <v>3</v>
      </c>
      <c r="C99" s="136">
        <f>D99+E99+F99</f>
        <v>27472.5</v>
      </c>
      <c r="D99" s="136">
        <v>12210</v>
      </c>
      <c r="E99" s="131"/>
      <c r="F99" s="132">
        <f>D99*125%</f>
        <v>15262.5</v>
      </c>
      <c r="G99" s="133">
        <f>C99*B99*12</f>
        <v>989010</v>
      </c>
    </row>
    <row r="100" spans="1:7" ht="15.75" x14ac:dyDescent="0.25">
      <c r="A100" s="145" t="s">
        <v>325</v>
      </c>
      <c r="B100" s="135">
        <v>2</v>
      </c>
      <c r="C100" s="136">
        <f>D100+E100+F100</f>
        <v>28083</v>
      </c>
      <c r="D100" s="136">
        <v>12210</v>
      </c>
      <c r="E100" s="131"/>
      <c r="F100" s="132">
        <f>D100*130%</f>
        <v>15873</v>
      </c>
      <c r="G100" s="133">
        <f t="shared" ref="G100" si="22">C100*B100*12</f>
        <v>673992</v>
      </c>
    </row>
    <row r="101" spans="1:7" ht="15.75" x14ac:dyDescent="0.25">
      <c r="A101" s="141" t="s">
        <v>312</v>
      </c>
      <c r="B101" s="142">
        <f t="shared" ref="B101:G101" si="23">SUM(B98:B100)</f>
        <v>6</v>
      </c>
      <c r="C101" s="146">
        <f t="shared" si="23"/>
        <v>96565.5</v>
      </c>
      <c r="D101" s="147">
        <f t="shared" si="23"/>
        <v>38090</v>
      </c>
      <c r="E101" s="147">
        <f t="shared" si="23"/>
        <v>0</v>
      </c>
      <c r="F101" s="148">
        <f t="shared" si="23"/>
        <v>58475.5</v>
      </c>
      <c r="G101" s="143">
        <f t="shared" si="23"/>
        <v>2155122</v>
      </c>
    </row>
    <row r="102" spans="1:7" ht="15.75" x14ac:dyDescent="0.25">
      <c r="A102" s="290" t="s">
        <v>326</v>
      </c>
      <c r="B102" s="291"/>
      <c r="C102" s="291"/>
      <c r="D102" s="291"/>
      <c r="E102" s="291"/>
      <c r="F102" s="291"/>
      <c r="G102" s="292"/>
    </row>
    <row r="103" spans="1:7" ht="31.5" x14ac:dyDescent="0.25">
      <c r="A103" s="134" t="s">
        <v>337</v>
      </c>
      <c r="B103" s="135">
        <v>1</v>
      </c>
      <c r="C103" s="136">
        <f t="shared" ref="C103:C107" si="24">D103+E103+F103</f>
        <v>41910</v>
      </c>
      <c r="D103" s="136">
        <v>13970</v>
      </c>
      <c r="E103" s="131"/>
      <c r="F103" s="132">
        <f>D103*200%</f>
        <v>27940</v>
      </c>
      <c r="G103" s="133">
        <f t="shared" ref="G103:G104" si="25">C103*B103*12</f>
        <v>502920</v>
      </c>
    </row>
    <row r="104" spans="1:7" ht="15.75" x14ac:dyDescent="0.25">
      <c r="A104" s="145" t="s">
        <v>335</v>
      </c>
      <c r="B104" s="135">
        <v>1</v>
      </c>
      <c r="C104" s="136">
        <f t="shared" si="24"/>
        <v>26862</v>
      </c>
      <c r="D104" s="136">
        <v>12210</v>
      </c>
      <c r="E104" s="131"/>
      <c r="F104" s="132">
        <f>D104*120%</f>
        <v>14652</v>
      </c>
      <c r="G104" s="133">
        <f t="shared" si="25"/>
        <v>322344</v>
      </c>
    </row>
    <row r="105" spans="1:7" ht="31.5" x14ac:dyDescent="0.25">
      <c r="A105" s="145" t="s">
        <v>336</v>
      </c>
      <c r="B105" s="135">
        <v>2</v>
      </c>
      <c r="C105" s="136">
        <f t="shared" si="24"/>
        <v>23694</v>
      </c>
      <c r="D105" s="136">
        <v>10770</v>
      </c>
      <c r="E105" s="131"/>
      <c r="F105" s="132">
        <f>D105*120%</f>
        <v>12924</v>
      </c>
      <c r="G105" s="133">
        <f>C105*B105*12</f>
        <v>568656</v>
      </c>
    </row>
    <row r="106" spans="1:7" ht="15.75" x14ac:dyDescent="0.25">
      <c r="A106" s="145" t="s">
        <v>327</v>
      </c>
      <c r="B106" s="135">
        <v>2</v>
      </c>
      <c r="C106" s="136">
        <f t="shared" si="24"/>
        <v>23694</v>
      </c>
      <c r="D106" s="136">
        <v>10770</v>
      </c>
      <c r="E106" s="131"/>
      <c r="F106" s="132">
        <f>D106*120%</f>
        <v>12924</v>
      </c>
      <c r="G106" s="133">
        <f t="shared" ref="G106:G107" si="26">C106*B106*12</f>
        <v>568656</v>
      </c>
    </row>
    <row r="107" spans="1:7" ht="15.75" x14ac:dyDescent="0.25">
      <c r="A107" s="145" t="s">
        <v>328</v>
      </c>
      <c r="B107" s="135">
        <v>8</v>
      </c>
      <c r="C107" s="136">
        <f t="shared" si="24"/>
        <v>21275</v>
      </c>
      <c r="D107" s="136">
        <v>9250</v>
      </c>
      <c r="E107" s="131"/>
      <c r="F107" s="132">
        <f>D107*130%</f>
        <v>12025</v>
      </c>
      <c r="G107" s="133">
        <f t="shared" si="26"/>
        <v>2042400</v>
      </c>
    </row>
    <row r="108" spans="1:7" ht="31.5" x14ac:dyDescent="0.25">
      <c r="A108" s="134" t="s">
        <v>329</v>
      </c>
      <c r="B108" s="135">
        <v>2</v>
      </c>
      <c r="C108" s="136">
        <f>D108+E108+F108</f>
        <v>21275</v>
      </c>
      <c r="D108" s="136">
        <v>9250</v>
      </c>
      <c r="E108" s="131"/>
      <c r="F108" s="132">
        <f>D108*130%</f>
        <v>12025</v>
      </c>
      <c r="G108" s="133">
        <f>C108*B108*12</f>
        <v>510600</v>
      </c>
    </row>
    <row r="109" spans="1:7" ht="15.75" x14ac:dyDescent="0.25">
      <c r="A109" s="150" t="s">
        <v>330</v>
      </c>
      <c r="B109" s="151">
        <v>1</v>
      </c>
      <c r="C109" s="136">
        <f>D109+E109+F109</f>
        <v>28489.920000000002</v>
      </c>
      <c r="D109" s="152">
        <v>11240</v>
      </c>
      <c r="E109" s="131"/>
      <c r="F109" s="132">
        <f>D109*150%+446.75-23.245-33.585</f>
        <v>17249.920000000002</v>
      </c>
      <c r="G109" s="133">
        <f>C109*B109*12</f>
        <v>341879.04000000004</v>
      </c>
    </row>
    <row r="110" spans="1:7" ht="16.5" thickBot="1" x14ac:dyDescent="0.3">
      <c r="A110" s="153" t="s">
        <v>312</v>
      </c>
      <c r="B110" s="154">
        <f>SUM(B103:B109)</f>
        <v>17</v>
      </c>
      <c r="C110" s="155">
        <f>SUM(C103:C109)</f>
        <v>187199.92</v>
      </c>
      <c r="D110" s="155">
        <f>SUM(D103:D109)</f>
        <v>77460</v>
      </c>
      <c r="E110" s="155"/>
      <c r="F110" s="156">
        <f>SUM(F103:F109)</f>
        <v>109739.92</v>
      </c>
      <c r="G110" s="157">
        <f>SUM(G103:G109)</f>
        <v>4857455.04</v>
      </c>
    </row>
    <row r="111" spans="1:7" ht="16.5" thickBot="1" x14ac:dyDescent="0.3">
      <c r="A111" s="158" t="s">
        <v>364</v>
      </c>
      <c r="B111" s="159">
        <f>B110+B101+B96+B84+B77</f>
        <v>64</v>
      </c>
      <c r="C111" s="160">
        <f>C110+C101+C96+C84+C77</f>
        <v>995066.42</v>
      </c>
      <c r="D111" s="160">
        <f>D110+D101+D96+D84+D77</f>
        <v>379650</v>
      </c>
      <c r="E111" s="161"/>
      <c r="F111" s="160">
        <f>F110+F101+F96+F84+F77</f>
        <v>615416.41999999993</v>
      </c>
      <c r="G111" s="160">
        <f>G110+G101+G96+G84+G77</f>
        <v>22222145.039999999</v>
      </c>
    </row>
    <row r="112" spans="1:7" ht="16.5" thickBot="1" x14ac:dyDescent="0.3">
      <c r="A112" s="158" t="s">
        <v>365</v>
      </c>
      <c r="B112" s="159">
        <f>B111+B69</f>
        <v>131</v>
      </c>
      <c r="C112" s="161">
        <f>C111+C69</f>
        <v>2129742.42</v>
      </c>
      <c r="D112" s="161">
        <f>D111+D69</f>
        <v>804064</v>
      </c>
      <c r="E112" s="161"/>
      <c r="F112" s="161">
        <f>F111+F69</f>
        <v>1325678.42</v>
      </c>
      <c r="G112" s="161">
        <f>G111+G69</f>
        <v>45930485.039999999</v>
      </c>
    </row>
    <row r="113" spans="1:7" ht="18.75" x14ac:dyDescent="0.25">
      <c r="A113" s="205"/>
      <c r="B113" s="205"/>
      <c r="C113" s="205"/>
      <c r="D113" s="205"/>
      <c r="E113" s="205"/>
      <c r="F113" s="205"/>
      <c r="G113" s="205"/>
    </row>
    <row r="114" spans="1:7" ht="18.75" x14ac:dyDescent="0.3">
      <c r="A114" s="9" t="s">
        <v>145</v>
      </c>
      <c r="B114" s="10">
        <v>111.119</v>
      </c>
    </row>
    <row r="115" spans="1:7" x14ac:dyDescent="0.25">
      <c r="A115" s="11"/>
    </row>
    <row r="116" spans="1:7" ht="15" customHeight="1" x14ac:dyDescent="0.25">
      <c r="A116" s="334" t="s">
        <v>84</v>
      </c>
      <c r="B116" s="306" t="s">
        <v>244</v>
      </c>
      <c r="C116" s="307"/>
      <c r="D116" s="306" t="s">
        <v>185</v>
      </c>
      <c r="E116" s="307"/>
      <c r="F116" s="306" t="s">
        <v>85</v>
      </c>
      <c r="G116" s="307"/>
    </row>
    <row r="117" spans="1:7" ht="36.75" customHeight="1" x14ac:dyDescent="0.25">
      <c r="A117" s="335"/>
      <c r="B117" s="308"/>
      <c r="C117" s="309"/>
      <c r="D117" s="308"/>
      <c r="E117" s="309"/>
      <c r="F117" s="308"/>
      <c r="G117" s="309"/>
    </row>
    <row r="118" spans="1:7" ht="18.75" x14ac:dyDescent="0.25">
      <c r="A118" s="206">
        <v>1</v>
      </c>
      <c r="B118" s="257">
        <v>2</v>
      </c>
      <c r="C118" s="258"/>
      <c r="D118" s="257">
        <v>3</v>
      </c>
      <c r="E118" s="258"/>
      <c r="F118" s="257">
        <v>4</v>
      </c>
      <c r="G118" s="258"/>
    </row>
    <row r="119" spans="1:7" ht="18.75" x14ac:dyDescent="0.25">
      <c r="A119" s="13">
        <v>131</v>
      </c>
      <c r="B119" s="255">
        <f>'гос.задание на 2023-2024 год '!D26+'гос.задание на 2023-2024 год '!D28+'гос.задание на 2023-2024 год '!D66</f>
        <v>59786391.549999997</v>
      </c>
      <c r="C119" s="256"/>
      <c r="D119" s="255">
        <f>'гос.задание на 2023-2024 год '!E26+'гос.задание на 2023-2024 год '!E66</f>
        <v>45930485.039999999</v>
      </c>
      <c r="E119" s="256"/>
      <c r="F119" s="255">
        <f>B119-D119</f>
        <v>13855906.509999998</v>
      </c>
      <c r="G119" s="256"/>
    </row>
    <row r="120" spans="1:7" ht="18.75" x14ac:dyDescent="0.25">
      <c r="A120" s="8"/>
    </row>
    <row r="121" spans="1:7" ht="43.5" customHeight="1" x14ac:dyDescent="0.25">
      <c r="A121" s="282" t="s">
        <v>203</v>
      </c>
      <c r="B121" s="282"/>
      <c r="C121" s="282"/>
      <c r="D121" s="282"/>
      <c r="E121" s="282"/>
      <c r="F121" s="282"/>
      <c r="G121" s="282"/>
    </row>
    <row r="122" spans="1:7" ht="18.75" x14ac:dyDescent="0.25">
      <c r="A122" s="9"/>
    </row>
    <row r="123" spans="1:7" ht="18.75" x14ac:dyDescent="0.3">
      <c r="A123" s="9" t="s">
        <v>147</v>
      </c>
      <c r="B123" s="10">
        <v>112</v>
      </c>
    </row>
    <row r="124" spans="1:7" x14ac:dyDescent="0.25">
      <c r="A124" s="11"/>
    </row>
    <row r="125" spans="1:7" ht="75" x14ac:dyDescent="0.25">
      <c r="A125" s="206" t="s">
        <v>86</v>
      </c>
      <c r="B125" s="206" t="s">
        <v>87</v>
      </c>
      <c r="C125" s="257" t="s">
        <v>88</v>
      </c>
      <c r="D125" s="258"/>
      <c r="E125" s="206" t="s">
        <v>89</v>
      </c>
      <c r="F125" s="257" t="s">
        <v>90</v>
      </c>
      <c r="G125" s="258"/>
    </row>
    <row r="126" spans="1:7" ht="18.75" x14ac:dyDescent="0.25">
      <c r="A126" s="206">
        <v>1</v>
      </c>
      <c r="B126" s="206">
        <v>2</v>
      </c>
      <c r="C126" s="257">
        <v>3</v>
      </c>
      <c r="D126" s="258"/>
      <c r="E126" s="206">
        <v>4</v>
      </c>
      <c r="F126" s="257">
        <v>5</v>
      </c>
      <c r="G126" s="258"/>
    </row>
    <row r="127" spans="1:7" ht="18.75" x14ac:dyDescent="0.25">
      <c r="A127" s="13" t="s">
        <v>91</v>
      </c>
      <c r="B127" s="206">
        <v>10</v>
      </c>
      <c r="C127" s="255">
        <v>100</v>
      </c>
      <c r="D127" s="256"/>
      <c r="E127" s="206">
        <v>8</v>
      </c>
      <c r="F127" s="255">
        <f>'гос.задание на 2023-2024 год '!D27</f>
        <v>8000</v>
      </c>
      <c r="G127" s="256"/>
    </row>
    <row r="128" spans="1:7" ht="18.75" x14ac:dyDescent="0.25">
      <c r="A128" s="8"/>
    </row>
    <row r="129" spans="1:7" ht="45" customHeight="1" x14ac:dyDescent="0.25">
      <c r="A129" s="282" t="s">
        <v>207</v>
      </c>
      <c r="B129" s="282"/>
      <c r="C129" s="282"/>
      <c r="D129" s="282"/>
      <c r="E129" s="282"/>
      <c r="F129" s="282"/>
      <c r="G129" s="282"/>
    </row>
    <row r="130" spans="1:7" ht="18.75" x14ac:dyDescent="0.25">
      <c r="A130" s="207"/>
      <c r="B130" s="207"/>
      <c r="C130" s="207"/>
      <c r="D130" s="207"/>
      <c r="E130" s="207"/>
      <c r="F130" s="207"/>
      <c r="G130" s="207"/>
    </row>
    <row r="131" spans="1:7" ht="18.75" x14ac:dyDescent="0.3">
      <c r="A131" s="9" t="s">
        <v>145</v>
      </c>
      <c r="B131" s="10">
        <v>111</v>
      </c>
    </row>
    <row r="132" spans="1:7" x14ac:dyDescent="0.25">
      <c r="A132" s="11"/>
    </row>
    <row r="133" spans="1:7" ht="18.75" x14ac:dyDescent="0.25">
      <c r="A133" s="206" t="s">
        <v>86</v>
      </c>
      <c r="B133" s="275" t="s">
        <v>99</v>
      </c>
      <c r="C133" s="275"/>
      <c r="D133" s="275" t="s">
        <v>100</v>
      </c>
      <c r="E133" s="275"/>
      <c r="F133" s="275" t="s">
        <v>101</v>
      </c>
      <c r="G133" s="275"/>
    </row>
    <row r="134" spans="1:7" ht="18.75" x14ac:dyDescent="0.3">
      <c r="A134" s="206">
        <v>1</v>
      </c>
      <c r="B134" s="257">
        <v>2</v>
      </c>
      <c r="C134" s="258"/>
      <c r="D134" s="257">
        <v>3</v>
      </c>
      <c r="E134" s="258"/>
      <c r="F134" s="248">
        <v>4</v>
      </c>
      <c r="G134" s="249"/>
    </row>
    <row r="135" spans="1:7" ht="56.25" x14ac:dyDescent="0.25">
      <c r="A135" s="13" t="s">
        <v>102</v>
      </c>
      <c r="B135" s="257">
        <v>24</v>
      </c>
      <c r="C135" s="258"/>
      <c r="D135" s="257">
        <v>2083.33</v>
      </c>
      <c r="E135" s="258"/>
      <c r="F135" s="299">
        <f>'гос.задание на 2023-2024 год '!D66</f>
        <v>49999.92</v>
      </c>
      <c r="G135" s="300"/>
    </row>
    <row r="136" spans="1:7" ht="18" customHeight="1" x14ac:dyDescent="0.25">
      <c r="A136" s="15"/>
      <c r="B136" s="16"/>
      <c r="C136" s="16"/>
      <c r="D136" s="16"/>
      <c r="E136" s="16"/>
      <c r="F136" s="17"/>
      <c r="G136" s="17"/>
    </row>
    <row r="137" spans="1:7" ht="18" customHeight="1" x14ac:dyDescent="0.25">
      <c r="A137" s="282" t="s">
        <v>226</v>
      </c>
      <c r="B137" s="282"/>
      <c r="C137" s="282"/>
      <c r="D137" s="282"/>
      <c r="E137" s="282"/>
      <c r="F137" s="282"/>
      <c r="G137" s="282"/>
    </row>
    <row r="138" spans="1:7" ht="18" customHeight="1" x14ac:dyDescent="0.3">
      <c r="A138" s="9" t="s">
        <v>145</v>
      </c>
      <c r="B138" s="10">
        <v>851</v>
      </c>
    </row>
    <row r="139" spans="1:7" x14ac:dyDescent="0.25">
      <c r="A139" s="11"/>
    </row>
    <row r="140" spans="1:7" ht="18" customHeight="1" x14ac:dyDescent="0.25">
      <c r="A140" s="206" t="s">
        <v>86</v>
      </c>
      <c r="B140" s="275" t="s">
        <v>109</v>
      </c>
      <c r="C140" s="275"/>
      <c r="D140" s="275" t="s">
        <v>110</v>
      </c>
      <c r="E140" s="275"/>
      <c r="F140" s="275" t="s">
        <v>111</v>
      </c>
      <c r="G140" s="275"/>
    </row>
    <row r="141" spans="1:7" ht="18" customHeight="1" x14ac:dyDescent="0.25">
      <c r="A141" s="206">
        <v>1</v>
      </c>
      <c r="B141" s="257">
        <v>2</v>
      </c>
      <c r="C141" s="258"/>
      <c r="D141" s="287">
        <v>3</v>
      </c>
      <c r="E141" s="288"/>
      <c r="F141" s="287">
        <v>4</v>
      </c>
      <c r="G141" s="288"/>
    </row>
    <row r="142" spans="1:7" ht="18.75" x14ac:dyDescent="0.25">
      <c r="A142" s="13" t="s">
        <v>112</v>
      </c>
      <c r="B142" s="255">
        <v>811739347.27999997</v>
      </c>
      <c r="C142" s="256"/>
      <c r="D142" s="255">
        <v>2.2000000000000002</v>
      </c>
      <c r="E142" s="256"/>
      <c r="F142" s="277">
        <f>'гос.задание на 2023-2024 год '!D73</f>
        <v>19861943.379999999</v>
      </c>
      <c r="G142" s="278"/>
    </row>
    <row r="143" spans="1:7" ht="18.75" x14ac:dyDescent="0.25">
      <c r="A143" s="13" t="s">
        <v>113</v>
      </c>
      <c r="B143" s="255">
        <v>133578515.93000001</v>
      </c>
      <c r="C143" s="256"/>
      <c r="D143" s="255">
        <v>1.5</v>
      </c>
      <c r="E143" s="256"/>
      <c r="F143" s="279"/>
      <c r="G143" s="280"/>
    </row>
    <row r="144" spans="1:7" ht="18" customHeight="1" x14ac:dyDescent="0.25">
      <c r="A144" s="15"/>
      <c r="B144" s="16"/>
      <c r="C144" s="19"/>
      <c r="D144" s="20"/>
      <c r="E144" s="21"/>
      <c r="F144" s="21"/>
      <c r="G144" s="21"/>
    </row>
    <row r="145" spans="1:7" ht="18" customHeight="1" x14ac:dyDescent="0.25">
      <c r="A145" s="9" t="s">
        <v>114</v>
      </c>
    </row>
    <row r="146" spans="1:7" ht="18" customHeight="1" x14ac:dyDescent="0.25">
      <c r="A146" s="11"/>
    </row>
    <row r="147" spans="1:7" ht="18" customHeight="1" x14ac:dyDescent="0.25">
      <c r="A147" s="206" t="s">
        <v>86</v>
      </c>
      <c r="B147" s="275" t="s">
        <v>109</v>
      </c>
      <c r="C147" s="275"/>
      <c r="D147" s="275" t="s">
        <v>110</v>
      </c>
      <c r="E147" s="275"/>
      <c r="F147" s="275" t="s">
        <v>115</v>
      </c>
      <c r="G147" s="275"/>
    </row>
    <row r="148" spans="1:7" ht="18" customHeight="1" x14ac:dyDescent="0.3">
      <c r="A148" s="206">
        <v>1</v>
      </c>
      <c r="B148" s="257">
        <v>2</v>
      </c>
      <c r="C148" s="258"/>
      <c r="D148" s="257">
        <v>3</v>
      </c>
      <c r="E148" s="258"/>
      <c r="F148" s="248">
        <v>4</v>
      </c>
      <c r="G148" s="249"/>
    </row>
    <row r="149" spans="1:7" ht="18.75" x14ac:dyDescent="0.25">
      <c r="A149" s="13" t="s">
        <v>116</v>
      </c>
      <c r="B149" s="257" t="s">
        <v>117</v>
      </c>
      <c r="C149" s="258"/>
      <c r="D149" s="257" t="s">
        <v>117</v>
      </c>
      <c r="E149" s="258"/>
      <c r="F149" s="299">
        <f>'гос.задание на 2023-2024 год '!D74</f>
        <v>51650</v>
      </c>
      <c r="G149" s="301"/>
    </row>
    <row r="150" spans="1:7" ht="18" customHeight="1" x14ac:dyDescent="0.25">
      <c r="A150" s="9"/>
    </row>
    <row r="151" spans="1:7" ht="18" customHeight="1" x14ac:dyDescent="0.25">
      <c r="A151" s="9" t="s">
        <v>119</v>
      </c>
    </row>
    <row r="152" spans="1:7" x14ac:dyDescent="0.25">
      <c r="A152" s="11"/>
    </row>
    <row r="153" spans="1:7" ht="41.45" customHeight="1" x14ac:dyDescent="0.25">
      <c r="A153" s="206" t="s">
        <v>86</v>
      </c>
      <c r="B153" s="275" t="s">
        <v>109</v>
      </c>
      <c r="C153" s="275"/>
      <c r="D153" s="275" t="s">
        <v>110</v>
      </c>
      <c r="E153" s="275"/>
      <c r="F153" s="275" t="s">
        <v>115</v>
      </c>
      <c r="G153" s="275"/>
    </row>
    <row r="154" spans="1:7" ht="18.75" x14ac:dyDescent="0.3">
      <c r="A154" s="206">
        <v>1</v>
      </c>
      <c r="B154" s="257">
        <v>2</v>
      </c>
      <c r="C154" s="258"/>
      <c r="D154" s="257">
        <v>3</v>
      </c>
      <c r="E154" s="258"/>
      <c r="F154" s="248">
        <v>4</v>
      </c>
      <c r="G154" s="249"/>
    </row>
    <row r="155" spans="1:7" ht="37.5" x14ac:dyDescent="0.25">
      <c r="A155" s="13" t="s">
        <v>155</v>
      </c>
      <c r="B155" s="257" t="s">
        <v>117</v>
      </c>
      <c r="C155" s="258"/>
      <c r="D155" s="257" t="s">
        <v>117</v>
      </c>
      <c r="E155" s="258"/>
      <c r="F155" s="299">
        <f>'гос.задание на 2023-2024 год '!D75</f>
        <v>1300</v>
      </c>
      <c r="G155" s="300"/>
    </row>
    <row r="156" spans="1:7" ht="18.75" x14ac:dyDescent="0.25">
      <c r="A156" s="8"/>
    </row>
    <row r="157" spans="1:7" ht="18.75" x14ac:dyDescent="0.25">
      <c r="A157" s="274" t="s">
        <v>216</v>
      </c>
      <c r="B157" s="274"/>
      <c r="C157" s="274"/>
      <c r="D157" s="274"/>
      <c r="E157" s="274"/>
      <c r="F157" s="274"/>
      <c r="G157" s="274"/>
    </row>
    <row r="158" spans="1:7" ht="18.75" x14ac:dyDescent="0.25">
      <c r="A158" s="9"/>
    </row>
    <row r="159" spans="1:7" ht="18.75" x14ac:dyDescent="0.3">
      <c r="A159" s="9" t="s">
        <v>145</v>
      </c>
      <c r="B159" s="10">
        <v>244</v>
      </c>
    </row>
    <row r="160" spans="1:7" ht="18.75" x14ac:dyDescent="0.25">
      <c r="A160" s="8"/>
    </row>
    <row r="161" spans="1:7" ht="39.75" customHeight="1" x14ac:dyDescent="0.25">
      <c r="A161" s="206" t="s">
        <v>86</v>
      </c>
      <c r="B161" s="275" t="s">
        <v>121</v>
      </c>
      <c r="C161" s="275"/>
      <c r="D161" s="275" t="s">
        <v>122</v>
      </c>
      <c r="E161" s="275"/>
      <c r="F161" s="275" t="s">
        <v>186</v>
      </c>
      <c r="G161" s="275"/>
    </row>
    <row r="162" spans="1:7" ht="18.75" x14ac:dyDescent="0.25">
      <c r="A162" s="206">
        <v>1</v>
      </c>
      <c r="B162" s="257">
        <v>2</v>
      </c>
      <c r="C162" s="258"/>
      <c r="D162" s="257">
        <v>3</v>
      </c>
      <c r="E162" s="258"/>
      <c r="F162" s="287">
        <v>4</v>
      </c>
      <c r="G162" s="288"/>
    </row>
    <row r="163" spans="1:7" ht="37.5" x14ac:dyDescent="0.25">
      <c r="A163" s="13" t="s">
        <v>371</v>
      </c>
      <c r="B163" s="257">
        <v>7</v>
      </c>
      <c r="C163" s="258"/>
      <c r="D163" s="255">
        <v>1000</v>
      </c>
      <c r="E163" s="256"/>
      <c r="F163" s="255">
        <f>B163*D163*12</f>
        <v>84000</v>
      </c>
      <c r="G163" s="256"/>
    </row>
    <row r="164" spans="1:7" ht="18.75" x14ac:dyDescent="0.25">
      <c r="A164" s="13" t="s">
        <v>372</v>
      </c>
      <c r="B164" s="257">
        <v>6</v>
      </c>
      <c r="C164" s="258"/>
      <c r="D164" s="255">
        <v>1000</v>
      </c>
      <c r="E164" s="256"/>
      <c r="F164" s="255">
        <f>B164*D164*12</f>
        <v>72000</v>
      </c>
      <c r="G164" s="256"/>
    </row>
    <row r="165" spans="1:7" ht="18.75" x14ac:dyDescent="0.25">
      <c r="A165" s="13" t="s">
        <v>428</v>
      </c>
      <c r="B165" s="257" t="s">
        <v>117</v>
      </c>
      <c r="C165" s="258"/>
      <c r="D165" s="257" t="s">
        <v>117</v>
      </c>
      <c r="E165" s="258"/>
      <c r="F165" s="255">
        <v>2000</v>
      </c>
      <c r="G165" s="256"/>
    </row>
    <row r="166" spans="1:7" ht="18.75" customHeight="1" x14ac:dyDescent="0.25">
      <c r="A166" s="13" t="s">
        <v>424</v>
      </c>
      <c r="B166" s="257" t="s">
        <v>117</v>
      </c>
      <c r="C166" s="258"/>
      <c r="D166" s="257" t="s">
        <v>117</v>
      </c>
      <c r="E166" s="258"/>
      <c r="F166" s="255">
        <v>2040</v>
      </c>
      <c r="G166" s="256"/>
    </row>
    <row r="167" spans="1:7" ht="18.75" customHeight="1" x14ac:dyDescent="0.25">
      <c r="A167" s="13" t="s">
        <v>373</v>
      </c>
      <c r="B167" s="257" t="s">
        <v>274</v>
      </c>
      <c r="C167" s="258"/>
      <c r="D167" s="255">
        <v>92350</v>
      </c>
      <c r="E167" s="256"/>
      <c r="F167" s="255">
        <f>D167*12</f>
        <v>1108200</v>
      </c>
      <c r="G167" s="256"/>
    </row>
    <row r="168" spans="1:7" ht="18.75" x14ac:dyDescent="0.25">
      <c r="A168" s="13" t="s">
        <v>374</v>
      </c>
      <c r="B168" s="257" t="s">
        <v>274</v>
      </c>
      <c r="C168" s="258"/>
      <c r="D168" s="255">
        <v>92450</v>
      </c>
      <c r="E168" s="256"/>
      <c r="F168" s="255">
        <f>D168*12</f>
        <v>1109400</v>
      </c>
      <c r="G168" s="256"/>
    </row>
    <row r="169" spans="1:7" ht="18.75" x14ac:dyDescent="0.25">
      <c r="A169" s="13" t="s">
        <v>344</v>
      </c>
      <c r="B169" s="287"/>
      <c r="C169" s="288"/>
      <c r="D169" s="287"/>
      <c r="E169" s="288"/>
      <c r="F169" s="255">
        <f>'гос.задание на 2023-2024 год '!D34</f>
        <v>2377640</v>
      </c>
      <c r="G169" s="256"/>
    </row>
    <row r="170" spans="1:7" ht="18.75" x14ac:dyDescent="0.25">
      <c r="A170" s="15"/>
      <c r="B170" s="16"/>
      <c r="C170" s="16"/>
      <c r="D170" s="16"/>
      <c r="E170" s="16"/>
      <c r="F170" s="82"/>
      <c r="G170" s="82"/>
    </row>
    <row r="171" spans="1:7" ht="18.75" x14ac:dyDescent="0.25">
      <c r="A171" s="274" t="s">
        <v>218</v>
      </c>
      <c r="B171" s="274"/>
      <c r="C171" s="274"/>
      <c r="D171" s="274"/>
      <c r="E171" s="274"/>
      <c r="F171" s="274"/>
      <c r="G171" s="274"/>
    </row>
    <row r="172" spans="1:7" ht="18.75" x14ac:dyDescent="0.25">
      <c r="A172" s="9"/>
    </row>
    <row r="173" spans="1:7" ht="18.75" x14ac:dyDescent="0.3">
      <c r="A173" s="9" t="s">
        <v>145</v>
      </c>
      <c r="B173" s="10">
        <v>244.24700000000001</v>
      </c>
    </row>
    <row r="174" spans="1:7" ht="18.75" x14ac:dyDescent="0.25">
      <c r="A174" s="8"/>
    </row>
    <row r="175" spans="1:7" ht="39" customHeight="1" x14ac:dyDescent="0.25">
      <c r="A175" s="206" t="s">
        <v>86</v>
      </c>
      <c r="B175" s="275" t="s">
        <v>126</v>
      </c>
      <c r="C175" s="275"/>
      <c r="D175" s="275" t="s">
        <v>127</v>
      </c>
      <c r="E175" s="275"/>
      <c r="F175" s="275" t="s">
        <v>94</v>
      </c>
      <c r="G175" s="275"/>
    </row>
    <row r="176" spans="1:7" ht="18.75" x14ac:dyDescent="0.25">
      <c r="A176" s="206">
        <v>1</v>
      </c>
      <c r="B176" s="257">
        <v>2</v>
      </c>
      <c r="C176" s="258"/>
      <c r="D176" s="257">
        <v>3</v>
      </c>
      <c r="E176" s="258"/>
      <c r="F176" s="257">
        <v>4</v>
      </c>
      <c r="G176" s="258"/>
    </row>
    <row r="177" spans="1:7" ht="37.5" x14ac:dyDescent="0.25">
      <c r="A177" s="13" t="s">
        <v>18</v>
      </c>
      <c r="B177" s="257" t="s">
        <v>117</v>
      </c>
      <c r="C177" s="258"/>
      <c r="D177" s="257" t="s">
        <v>117</v>
      </c>
      <c r="E177" s="258"/>
      <c r="F177" s="255">
        <f>'гос.задание на 2023-2024 год '!D41</f>
        <v>0</v>
      </c>
      <c r="G177" s="256"/>
    </row>
    <row r="178" spans="1:7" ht="37.5" x14ac:dyDescent="0.25">
      <c r="A178" s="13" t="s">
        <v>391</v>
      </c>
      <c r="B178" s="257" t="s">
        <v>393</v>
      </c>
      <c r="C178" s="258"/>
      <c r="D178" s="257">
        <v>6119.41</v>
      </c>
      <c r="E178" s="258"/>
      <c r="F178" s="277">
        <f>'гос.задание на 2023-2024 год '!D43</f>
        <v>3626465.69</v>
      </c>
      <c r="G178" s="278"/>
    </row>
    <row r="179" spans="1:7" ht="37.5" x14ac:dyDescent="0.25">
      <c r="A179" s="13" t="s">
        <v>392</v>
      </c>
      <c r="B179" s="257" t="s">
        <v>425</v>
      </c>
      <c r="C179" s="258"/>
      <c r="D179" s="257">
        <v>7.34</v>
      </c>
      <c r="E179" s="258"/>
      <c r="F179" s="279"/>
      <c r="G179" s="280"/>
    </row>
    <row r="180" spans="1:7" ht="56.25" x14ac:dyDescent="0.25">
      <c r="A180" s="13" t="s">
        <v>375</v>
      </c>
      <c r="B180" s="257" t="s">
        <v>394</v>
      </c>
      <c r="C180" s="258"/>
      <c r="D180" s="257">
        <v>5.46</v>
      </c>
      <c r="E180" s="258"/>
      <c r="F180" s="277">
        <f>'гос.задание на 2023-2024 год '!D45</f>
        <v>25316126.350000001</v>
      </c>
      <c r="G180" s="278"/>
    </row>
    <row r="181" spans="1:7" ht="56.25" x14ac:dyDescent="0.25">
      <c r="A181" s="13" t="s">
        <v>376</v>
      </c>
      <c r="B181" s="257" t="s">
        <v>426</v>
      </c>
      <c r="C181" s="258"/>
      <c r="D181" s="257">
        <v>1127.17</v>
      </c>
      <c r="E181" s="258"/>
      <c r="F181" s="279"/>
      <c r="G181" s="280"/>
    </row>
    <row r="182" spans="1:7" ht="56.25" x14ac:dyDescent="0.25">
      <c r="A182" s="13" t="s">
        <v>378</v>
      </c>
      <c r="B182" s="257" t="s">
        <v>395</v>
      </c>
      <c r="C182" s="258"/>
      <c r="D182" s="257">
        <v>64.430000000000007</v>
      </c>
      <c r="E182" s="258"/>
      <c r="F182" s="277">
        <f>'гос.задание на 2023-2024 год '!D46</f>
        <v>6574816.25</v>
      </c>
      <c r="G182" s="278"/>
    </row>
    <row r="183" spans="1:7" ht="56.25" x14ac:dyDescent="0.25">
      <c r="A183" s="13" t="s">
        <v>379</v>
      </c>
      <c r="B183" s="257" t="s">
        <v>427</v>
      </c>
      <c r="C183" s="258"/>
      <c r="D183" s="257">
        <v>100.33</v>
      </c>
      <c r="E183" s="258"/>
      <c r="F183" s="279"/>
      <c r="G183" s="280"/>
    </row>
    <row r="184" spans="1:7" ht="37.5" x14ac:dyDescent="0.25">
      <c r="A184" s="24" t="s">
        <v>380</v>
      </c>
      <c r="B184" s="257" t="s">
        <v>396</v>
      </c>
      <c r="C184" s="258"/>
      <c r="D184" s="257">
        <v>702.49</v>
      </c>
      <c r="E184" s="258"/>
      <c r="F184" s="277">
        <f>'гос.задание на 2023-2024 год '!D47</f>
        <v>596554.87</v>
      </c>
      <c r="G184" s="278"/>
    </row>
    <row r="185" spans="1:7" ht="37.5" x14ac:dyDescent="0.25">
      <c r="A185" s="24" t="s">
        <v>381</v>
      </c>
      <c r="B185" s="257" t="s">
        <v>417</v>
      </c>
      <c r="C185" s="258"/>
      <c r="D185" s="257">
        <v>668.99</v>
      </c>
      <c r="E185" s="258"/>
      <c r="F185" s="279"/>
      <c r="G185" s="280"/>
    </row>
    <row r="186" spans="1:7" ht="18.75" x14ac:dyDescent="0.25">
      <c r="A186" s="24" t="s">
        <v>146</v>
      </c>
      <c r="B186" s="257"/>
      <c r="C186" s="258"/>
      <c r="D186" s="257"/>
      <c r="E186" s="258"/>
      <c r="F186" s="255">
        <f>F177+F178+F180+F182+F184</f>
        <v>36113963.160000004</v>
      </c>
      <c r="G186" s="256"/>
    </row>
    <row r="187" spans="1:7" ht="18.75" x14ac:dyDescent="0.25">
      <c r="A187" s="27"/>
      <c r="B187" s="26"/>
      <c r="C187" s="26"/>
      <c r="D187" s="26"/>
      <c r="E187" s="26"/>
      <c r="F187" s="26"/>
      <c r="G187" s="26"/>
    </row>
    <row r="188" spans="1:7" ht="18.75" customHeight="1" x14ac:dyDescent="0.25">
      <c r="A188" s="276" t="s">
        <v>220</v>
      </c>
      <c r="B188" s="276"/>
      <c r="C188" s="276"/>
      <c r="D188" s="276"/>
      <c r="E188" s="276"/>
      <c r="F188" s="276"/>
      <c r="G188" s="276"/>
    </row>
    <row r="189" spans="1:7" ht="18.75" x14ac:dyDescent="0.25">
      <c r="A189" s="9"/>
    </row>
    <row r="190" spans="1:7" ht="18.75" x14ac:dyDescent="0.3">
      <c r="A190" s="9" t="s">
        <v>145</v>
      </c>
      <c r="B190" s="10">
        <v>244</v>
      </c>
    </row>
    <row r="191" spans="1:7" ht="18.75" x14ac:dyDescent="0.25">
      <c r="A191" s="8"/>
    </row>
    <row r="192" spans="1:7" ht="18.75" x14ac:dyDescent="0.25">
      <c r="A192" s="257" t="s">
        <v>86</v>
      </c>
      <c r="B192" s="286"/>
      <c r="C192" s="258"/>
      <c r="D192" s="275" t="s">
        <v>131</v>
      </c>
      <c r="E192" s="275"/>
      <c r="F192" s="275" t="s">
        <v>132</v>
      </c>
      <c r="G192" s="275"/>
    </row>
    <row r="193" spans="1:7" ht="18.75" x14ac:dyDescent="0.3">
      <c r="A193" s="257">
        <v>1</v>
      </c>
      <c r="B193" s="286"/>
      <c r="C193" s="258"/>
      <c r="D193" s="248">
        <v>2</v>
      </c>
      <c r="E193" s="249"/>
      <c r="F193" s="248">
        <v>3</v>
      </c>
      <c r="G193" s="249"/>
    </row>
    <row r="194" spans="1:7" ht="18.75" x14ac:dyDescent="0.3">
      <c r="A194" s="252" t="s">
        <v>382</v>
      </c>
      <c r="B194" s="253"/>
      <c r="C194" s="254"/>
      <c r="D194" s="248"/>
      <c r="E194" s="249"/>
      <c r="F194" s="265"/>
      <c r="G194" s="267"/>
    </row>
    <row r="195" spans="1:7" ht="18.75" customHeight="1" x14ac:dyDescent="0.3">
      <c r="A195" s="252" t="s">
        <v>275</v>
      </c>
      <c r="B195" s="253"/>
      <c r="C195" s="254"/>
      <c r="D195" s="248">
        <v>12</v>
      </c>
      <c r="E195" s="249"/>
      <c r="F195" s="265">
        <f>258945</f>
        <v>258945</v>
      </c>
      <c r="G195" s="267"/>
    </row>
    <row r="196" spans="1:7" ht="18.75" customHeight="1" x14ac:dyDescent="0.3">
      <c r="A196" s="252" t="s">
        <v>276</v>
      </c>
      <c r="B196" s="253"/>
      <c r="C196" s="254"/>
      <c r="D196" s="248">
        <v>12</v>
      </c>
      <c r="E196" s="249"/>
      <c r="F196" s="265">
        <f>34500*12</f>
        <v>414000</v>
      </c>
      <c r="G196" s="267"/>
    </row>
    <row r="197" spans="1:7" ht="18.75" customHeight="1" x14ac:dyDescent="0.3">
      <c r="A197" s="252" t="s">
        <v>277</v>
      </c>
      <c r="B197" s="253"/>
      <c r="C197" s="254"/>
      <c r="D197" s="248">
        <v>12</v>
      </c>
      <c r="E197" s="249"/>
      <c r="F197" s="265">
        <f>144400</f>
        <v>144400</v>
      </c>
      <c r="G197" s="267"/>
    </row>
    <row r="198" spans="1:7" ht="18.75" customHeight="1" x14ac:dyDescent="0.3">
      <c r="A198" s="252" t="s">
        <v>279</v>
      </c>
      <c r="B198" s="253"/>
      <c r="C198" s="254"/>
      <c r="D198" s="248">
        <v>12</v>
      </c>
      <c r="E198" s="249"/>
      <c r="F198" s="265">
        <f>265454.52</f>
        <v>265454.52</v>
      </c>
      <c r="G198" s="267"/>
    </row>
    <row r="199" spans="1:7" ht="18.75" x14ac:dyDescent="0.3">
      <c r="A199" s="252" t="s">
        <v>278</v>
      </c>
      <c r="B199" s="253"/>
      <c r="C199" s="254"/>
      <c r="D199" s="248">
        <v>7</v>
      </c>
      <c r="E199" s="249"/>
      <c r="F199" s="265">
        <f>69580</f>
        <v>69580</v>
      </c>
      <c r="G199" s="267"/>
    </row>
    <row r="200" spans="1:7" ht="18.75" customHeight="1" x14ac:dyDescent="0.3">
      <c r="A200" s="252" t="s">
        <v>280</v>
      </c>
      <c r="B200" s="253"/>
      <c r="C200" s="254"/>
      <c r="D200" s="248">
        <v>12</v>
      </c>
      <c r="E200" s="249"/>
      <c r="F200" s="265">
        <f>4457.75</f>
        <v>4457.75</v>
      </c>
      <c r="G200" s="267"/>
    </row>
    <row r="201" spans="1:7" ht="18.75" customHeight="1" x14ac:dyDescent="0.3">
      <c r="A201" s="252" t="s">
        <v>281</v>
      </c>
      <c r="B201" s="253"/>
      <c r="C201" s="254"/>
      <c r="D201" s="248">
        <v>12</v>
      </c>
      <c r="E201" s="249"/>
      <c r="F201" s="265">
        <f>18700</f>
        <v>18700</v>
      </c>
      <c r="G201" s="267"/>
    </row>
    <row r="202" spans="1:7" ht="38.25" customHeight="1" x14ac:dyDescent="0.3">
      <c r="A202" s="252" t="s">
        <v>282</v>
      </c>
      <c r="B202" s="253"/>
      <c r="C202" s="254"/>
      <c r="D202" s="248">
        <v>12</v>
      </c>
      <c r="E202" s="249"/>
      <c r="F202" s="265">
        <f>180000</f>
        <v>180000</v>
      </c>
      <c r="G202" s="267"/>
    </row>
    <row r="203" spans="1:7" ht="18.75" customHeight="1" x14ac:dyDescent="0.3">
      <c r="A203" s="252" t="s">
        <v>283</v>
      </c>
      <c r="B203" s="253"/>
      <c r="C203" s="254"/>
      <c r="D203" s="248">
        <v>12</v>
      </c>
      <c r="E203" s="249"/>
      <c r="F203" s="265">
        <f>330909.12</f>
        <v>330909.12</v>
      </c>
      <c r="G203" s="267"/>
    </row>
    <row r="204" spans="1:7" ht="18.75" customHeight="1" x14ac:dyDescent="0.3">
      <c r="A204" s="252" t="s">
        <v>284</v>
      </c>
      <c r="B204" s="253"/>
      <c r="C204" s="254"/>
      <c r="D204" s="248">
        <v>12</v>
      </c>
      <c r="E204" s="249"/>
      <c r="F204" s="265">
        <f>6000</f>
        <v>6000</v>
      </c>
      <c r="G204" s="267"/>
    </row>
    <row r="205" spans="1:7" ht="37.5" customHeight="1" x14ac:dyDescent="0.3">
      <c r="A205" s="252" t="s">
        <v>136</v>
      </c>
      <c r="B205" s="253"/>
      <c r="C205" s="254"/>
      <c r="D205" s="248">
        <v>2</v>
      </c>
      <c r="E205" s="249"/>
      <c r="F205" s="265">
        <v>50000</v>
      </c>
      <c r="G205" s="267"/>
    </row>
    <row r="206" spans="1:7" ht="18.75" customHeight="1" x14ac:dyDescent="0.3">
      <c r="A206" s="252" t="s">
        <v>285</v>
      </c>
      <c r="B206" s="253"/>
      <c r="C206" s="254"/>
      <c r="D206" s="248">
        <v>12</v>
      </c>
      <c r="E206" s="249"/>
      <c r="F206" s="265">
        <f>7200</f>
        <v>7200</v>
      </c>
      <c r="G206" s="267"/>
    </row>
    <row r="207" spans="1:7" ht="18.75" customHeight="1" x14ac:dyDescent="0.3">
      <c r="A207" s="252" t="s">
        <v>384</v>
      </c>
      <c r="B207" s="253"/>
      <c r="C207" s="254"/>
      <c r="D207" s="248">
        <v>12</v>
      </c>
      <c r="E207" s="249"/>
      <c r="F207" s="265">
        <v>95440</v>
      </c>
      <c r="G207" s="267"/>
    </row>
    <row r="208" spans="1:7" ht="18.75" customHeight="1" x14ac:dyDescent="0.3">
      <c r="A208" s="252" t="s">
        <v>385</v>
      </c>
      <c r="B208" s="253"/>
      <c r="C208" s="254"/>
      <c r="D208" s="248">
        <v>1</v>
      </c>
      <c r="E208" s="249"/>
      <c r="F208" s="265">
        <v>917800</v>
      </c>
      <c r="G208" s="267"/>
    </row>
    <row r="209" spans="1:7" ht="18.75" x14ac:dyDescent="0.3">
      <c r="A209" s="252" t="s">
        <v>291</v>
      </c>
      <c r="B209" s="253"/>
      <c r="C209" s="254"/>
      <c r="D209" s="248">
        <v>1</v>
      </c>
      <c r="E209" s="249"/>
      <c r="F209" s="265">
        <f>569060.67</f>
        <v>569060.67000000004</v>
      </c>
      <c r="G209" s="267"/>
    </row>
    <row r="210" spans="1:7" ht="18.75" customHeight="1" x14ac:dyDescent="0.3">
      <c r="A210" s="252" t="s">
        <v>286</v>
      </c>
      <c r="B210" s="253"/>
      <c r="C210" s="254"/>
      <c r="D210" s="248">
        <v>12</v>
      </c>
      <c r="E210" s="249"/>
      <c r="F210" s="265">
        <v>3922723.81</v>
      </c>
      <c r="G210" s="267"/>
    </row>
    <row r="211" spans="1:7" ht="18.75" customHeight="1" x14ac:dyDescent="0.3">
      <c r="A211" s="252" t="s">
        <v>287</v>
      </c>
      <c r="B211" s="253"/>
      <c r="C211" s="254"/>
      <c r="D211" s="248">
        <v>12</v>
      </c>
      <c r="E211" s="249"/>
      <c r="F211" s="265">
        <v>859297.46</v>
      </c>
      <c r="G211" s="267"/>
    </row>
    <row r="212" spans="1:7" ht="18.75" customHeight="1" x14ac:dyDescent="0.3">
      <c r="A212" s="252" t="s">
        <v>348</v>
      </c>
      <c r="B212" s="253"/>
      <c r="C212" s="254"/>
      <c r="D212" s="248">
        <v>12</v>
      </c>
      <c r="E212" s="249"/>
      <c r="F212" s="265">
        <v>7933758.6399999997</v>
      </c>
      <c r="G212" s="267"/>
    </row>
    <row r="213" spans="1:7" ht="18.75" customHeight="1" x14ac:dyDescent="0.3">
      <c r="A213" s="252" t="s">
        <v>349</v>
      </c>
      <c r="B213" s="253"/>
      <c r="C213" s="254"/>
      <c r="D213" s="248">
        <v>12</v>
      </c>
      <c r="E213" s="249"/>
      <c r="F213" s="265">
        <v>75000</v>
      </c>
      <c r="G213" s="267"/>
    </row>
    <row r="214" spans="1:7" ht="18.75" customHeight="1" x14ac:dyDescent="0.3">
      <c r="A214" s="252" t="s">
        <v>386</v>
      </c>
      <c r="B214" s="253"/>
      <c r="C214" s="254"/>
      <c r="D214" s="248">
        <v>12</v>
      </c>
      <c r="E214" s="249"/>
      <c r="F214" s="265">
        <v>1314000</v>
      </c>
      <c r="G214" s="267"/>
    </row>
    <row r="215" spans="1:7" ht="18.75" x14ac:dyDescent="0.3">
      <c r="A215" s="252" t="s">
        <v>288</v>
      </c>
      <c r="B215" s="253"/>
      <c r="C215" s="254"/>
      <c r="D215" s="248">
        <v>12</v>
      </c>
      <c r="E215" s="249"/>
      <c r="F215" s="265">
        <v>700</v>
      </c>
      <c r="G215" s="267"/>
    </row>
    <row r="216" spans="1:7" ht="18.75" customHeight="1" x14ac:dyDescent="0.3">
      <c r="A216" s="252" t="s">
        <v>289</v>
      </c>
      <c r="B216" s="253"/>
      <c r="C216" s="254"/>
      <c r="D216" s="248">
        <v>5</v>
      </c>
      <c r="E216" s="249"/>
      <c r="F216" s="265">
        <f>400000</f>
        <v>400000</v>
      </c>
      <c r="G216" s="267"/>
    </row>
    <row r="217" spans="1:7" ht="18.75" x14ac:dyDescent="0.3">
      <c r="A217" s="252" t="s">
        <v>290</v>
      </c>
      <c r="B217" s="253"/>
      <c r="C217" s="254"/>
      <c r="D217" s="248">
        <v>1</v>
      </c>
      <c r="E217" s="249"/>
      <c r="F217" s="265">
        <v>2609404.16</v>
      </c>
      <c r="G217" s="267"/>
    </row>
    <row r="218" spans="1:7" ht="18.75" customHeight="1" x14ac:dyDescent="0.3">
      <c r="A218" s="252" t="s">
        <v>383</v>
      </c>
      <c r="B218" s="253"/>
      <c r="C218" s="254"/>
      <c r="D218" s="248"/>
      <c r="E218" s="249"/>
      <c r="F218" s="265"/>
      <c r="G218" s="267"/>
    </row>
    <row r="219" spans="1:7" ht="18.75" customHeight="1" x14ac:dyDescent="0.3">
      <c r="A219" s="252" t="s">
        <v>399</v>
      </c>
      <c r="B219" s="253"/>
      <c r="C219" s="254"/>
      <c r="D219" s="248">
        <v>12</v>
      </c>
      <c r="E219" s="249"/>
      <c r="F219" s="265">
        <v>644544</v>
      </c>
      <c r="G219" s="267"/>
    </row>
    <row r="220" spans="1:7" ht="18.75" customHeight="1" x14ac:dyDescent="0.3">
      <c r="A220" s="252" t="s">
        <v>400</v>
      </c>
      <c r="B220" s="253"/>
      <c r="C220" s="254"/>
      <c r="D220" s="248">
        <v>12</v>
      </c>
      <c r="E220" s="249"/>
      <c r="F220" s="265">
        <v>217898.84159999999</v>
      </c>
      <c r="G220" s="267"/>
    </row>
    <row r="221" spans="1:7" ht="18.75" customHeight="1" x14ac:dyDescent="0.3">
      <c r="A221" s="252" t="s">
        <v>401</v>
      </c>
      <c r="B221" s="253"/>
      <c r="C221" s="254"/>
      <c r="D221" s="248">
        <v>12</v>
      </c>
      <c r="E221" s="249"/>
      <c r="F221" s="265">
        <v>303329.56799999997</v>
      </c>
      <c r="G221" s="267"/>
    </row>
    <row r="222" spans="1:7" ht="18.75" customHeight="1" x14ac:dyDescent="0.3">
      <c r="A222" s="252" t="s">
        <v>402</v>
      </c>
      <c r="B222" s="253"/>
      <c r="C222" s="254"/>
      <c r="D222" s="248">
        <v>12</v>
      </c>
      <c r="E222" s="249"/>
      <c r="F222" s="265">
        <v>577146.18240000005</v>
      </c>
      <c r="G222" s="267"/>
    </row>
    <row r="223" spans="1:7" ht="18.75" customHeight="1" x14ac:dyDescent="0.3">
      <c r="A223" s="252" t="s">
        <v>403</v>
      </c>
      <c r="B223" s="253"/>
      <c r="C223" s="254"/>
      <c r="D223" s="248">
        <v>12</v>
      </c>
      <c r="E223" s="249"/>
      <c r="F223" s="265">
        <v>118689.19680000001</v>
      </c>
      <c r="G223" s="267"/>
    </row>
    <row r="224" spans="1:7" ht="18.75" customHeight="1" x14ac:dyDescent="0.3">
      <c r="A224" s="252" t="s">
        <v>404</v>
      </c>
      <c r="B224" s="253"/>
      <c r="C224" s="254"/>
      <c r="D224" s="248">
        <v>12</v>
      </c>
      <c r="E224" s="249"/>
      <c r="F224" s="265">
        <v>1339219.2</v>
      </c>
      <c r="G224" s="267"/>
    </row>
    <row r="225" spans="1:7" ht="18.75" customHeight="1" x14ac:dyDescent="0.3">
      <c r="A225" s="252" t="s">
        <v>405</v>
      </c>
      <c r="B225" s="253"/>
      <c r="C225" s="254"/>
      <c r="D225" s="248">
        <v>12</v>
      </c>
      <c r="E225" s="249"/>
      <c r="F225" s="265">
        <v>121747.2</v>
      </c>
      <c r="G225" s="267"/>
    </row>
    <row r="226" spans="1:7" ht="18.75" customHeight="1" x14ac:dyDescent="0.3">
      <c r="A226" s="252" t="s">
        <v>406</v>
      </c>
      <c r="B226" s="253"/>
      <c r="C226" s="254"/>
      <c r="D226" s="248">
        <v>12</v>
      </c>
      <c r="E226" s="249"/>
      <c r="F226" s="265">
        <v>48698.879999999997</v>
      </c>
      <c r="G226" s="267"/>
    </row>
    <row r="227" spans="1:7" ht="18.75" customHeight="1" x14ac:dyDescent="0.3">
      <c r="A227" s="252" t="s">
        <v>407</v>
      </c>
      <c r="B227" s="253"/>
      <c r="C227" s="254"/>
      <c r="D227" s="248">
        <v>12</v>
      </c>
      <c r="E227" s="249"/>
      <c r="F227" s="265">
        <v>71616</v>
      </c>
      <c r="G227" s="267"/>
    </row>
    <row r="228" spans="1:7" ht="18.75" x14ac:dyDescent="0.3">
      <c r="A228" s="252" t="s">
        <v>408</v>
      </c>
      <c r="B228" s="253"/>
      <c r="C228" s="254"/>
      <c r="D228" s="248">
        <v>12</v>
      </c>
      <c r="E228" s="249"/>
      <c r="F228" s="265">
        <v>35627.198400000751</v>
      </c>
      <c r="G228" s="267"/>
    </row>
    <row r="229" spans="1:7" ht="18.75" customHeight="1" x14ac:dyDescent="0.3">
      <c r="A229" s="252" t="s">
        <v>286</v>
      </c>
      <c r="B229" s="253"/>
      <c r="C229" s="254"/>
      <c r="D229" s="248">
        <v>12</v>
      </c>
      <c r="E229" s="249"/>
      <c r="F229" s="265">
        <v>746000</v>
      </c>
      <c r="G229" s="267"/>
    </row>
    <row r="230" spans="1:7" ht="18.75" customHeight="1" x14ac:dyDescent="0.3">
      <c r="A230" s="252" t="s">
        <v>409</v>
      </c>
      <c r="B230" s="253"/>
      <c r="C230" s="254"/>
      <c r="D230" s="248">
        <v>12</v>
      </c>
      <c r="E230" s="249"/>
      <c r="F230" s="265">
        <v>131296</v>
      </c>
      <c r="G230" s="267"/>
    </row>
    <row r="231" spans="1:7" ht="18.75" customHeight="1" x14ac:dyDescent="0.3">
      <c r="A231" s="252" t="s">
        <v>431</v>
      </c>
      <c r="B231" s="253"/>
      <c r="C231" s="254"/>
      <c r="D231" s="248">
        <v>12</v>
      </c>
      <c r="E231" s="249"/>
      <c r="F231" s="265">
        <v>17187.84</v>
      </c>
      <c r="G231" s="267"/>
    </row>
    <row r="232" spans="1:7" ht="18.75" x14ac:dyDescent="0.3">
      <c r="A232" s="252" t="s">
        <v>410</v>
      </c>
      <c r="B232" s="253"/>
      <c r="C232" s="254"/>
      <c r="D232" s="248">
        <v>1</v>
      </c>
      <c r="E232" s="249"/>
      <c r="F232" s="265">
        <v>208880</v>
      </c>
      <c r="G232" s="267"/>
    </row>
    <row r="233" spans="1:7" ht="18.75" x14ac:dyDescent="0.3">
      <c r="A233" s="252" t="s">
        <v>412</v>
      </c>
      <c r="B233" s="253"/>
      <c r="C233" s="254"/>
      <c r="D233" s="248">
        <v>3</v>
      </c>
      <c r="E233" s="249"/>
      <c r="F233" s="265">
        <v>281.09280000000001</v>
      </c>
      <c r="G233" s="267"/>
    </row>
    <row r="234" spans="1:7" ht="37.5" customHeight="1" x14ac:dyDescent="0.3">
      <c r="A234" s="252" t="s">
        <v>432</v>
      </c>
      <c r="B234" s="253"/>
      <c r="C234" s="254"/>
      <c r="D234" s="248">
        <v>12</v>
      </c>
      <c r="E234" s="249"/>
      <c r="F234" s="265">
        <v>1417996.8</v>
      </c>
      <c r="G234" s="267"/>
    </row>
    <row r="235" spans="1:7" ht="18.75" x14ac:dyDescent="0.3">
      <c r="A235" s="252" t="s">
        <v>411</v>
      </c>
      <c r="B235" s="253"/>
      <c r="C235" s="254"/>
      <c r="D235" s="248">
        <v>12</v>
      </c>
      <c r="E235" s="249"/>
      <c r="F235" s="265">
        <v>1396512</v>
      </c>
      <c r="G235" s="267"/>
    </row>
    <row r="236" spans="1:7" ht="18.75" customHeight="1" x14ac:dyDescent="0.3">
      <c r="A236" s="252" t="s">
        <v>435</v>
      </c>
      <c r="B236" s="253"/>
      <c r="C236" s="254"/>
      <c r="D236" s="248">
        <v>12</v>
      </c>
      <c r="E236" s="249"/>
      <c r="F236" s="265">
        <v>149200</v>
      </c>
      <c r="G236" s="267"/>
    </row>
    <row r="237" spans="1:7" ht="18.75" x14ac:dyDescent="0.3">
      <c r="A237" s="252" t="s">
        <v>146</v>
      </c>
      <c r="B237" s="253"/>
      <c r="C237" s="254"/>
      <c r="D237" s="283"/>
      <c r="E237" s="284"/>
      <c r="F237" s="265">
        <f>'гос.задание на 2023-2024 год '!D52</f>
        <v>27992701.129999999</v>
      </c>
      <c r="G237" s="267"/>
    </row>
    <row r="238" spans="1:7" ht="18.75" x14ac:dyDescent="0.25">
      <c r="A238" s="29"/>
    </row>
    <row r="239" spans="1:7" ht="18.75" x14ac:dyDescent="0.25">
      <c r="A239" s="274" t="s">
        <v>221</v>
      </c>
      <c r="B239" s="274"/>
      <c r="C239" s="274"/>
      <c r="D239" s="274"/>
      <c r="E239" s="274"/>
      <c r="F239" s="274"/>
      <c r="G239" s="274"/>
    </row>
    <row r="240" spans="1:7" ht="18.75" x14ac:dyDescent="0.25">
      <c r="A240" s="9"/>
    </row>
    <row r="241" spans="1:7" ht="18.75" x14ac:dyDescent="0.3">
      <c r="A241" s="9" t="s">
        <v>145</v>
      </c>
      <c r="B241" s="10">
        <v>244</v>
      </c>
    </row>
    <row r="242" spans="1:7" ht="18.75" x14ac:dyDescent="0.25">
      <c r="A242" s="8"/>
    </row>
    <row r="243" spans="1:7" ht="18.75" x14ac:dyDescent="0.25">
      <c r="A243" s="257" t="s">
        <v>86</v>
      </c>
      <c r="B243" s="286"/>
      <c r="C243" s="258"/>
      <c r="D243" s="275" t="s">
        <v>137</v>
      </c>
      <c r="E243" s="275"/>
      <c r="F243" s="275" t="s">
        <v>138</v>
      </c>
      <c r="G243" s="275"/>
    </row>
    <row r="244" spans="1:7" ht="18.75" x14ac:dyDescent="0.3">
      <c r="A244" s="257">
        <v>1</v>
      </c>
      <c r="B244" s="286"/>
      <c r="C244" s="258"/>
      <c r="D244" s="248">
        <v>2</v>
      </c>
      <c r="E244" s="249"/>
      <c r="F244" s="248">
        <v>3</v>
      </c>
      <c r="G244" s="249"/>
    </row>
    <row r="245" spans="1:7" ht="18.75" x14ac:dyDescent="0.3">
      <c r="A245" s="252" t="s">
        <v>382</v>
      </c>
      <c r="B245" s="253"/>
      <c r="C245" s="254"/>
      <c r="D245" s="261"/>
      <c r="E245" s="262"/>
      <c r="F245" s="265"/>
      <c r="G245" s="267"/>
    </row>
    <row r="246" spans="1:7" ht="18.75" customHeight="1" x14ac:dyDescent="0.3">
      <c r="A246" s="252" t="s">
        <v>139</v>
      </c>
      <c r="B246" s="253"/>
      <c r="C246" s="254"/>
      <c r="D246" s="261">
        <v>1</v>
      </c>
      <c r="E246" s="262"/>
      <c r="F246" s="265">
        <f>120000+33816</f>
        <v>153816</v>
      </c>
      <c r="G246" s="267"/>
    </row>
    <row r="247" spans="1:7" ht="18.75" x14ac:dyDescent="0.3">
      <c r="A247" s="252" t="s">
        <v>140</v>
      </c>
      <c r="B247" s="253"/>
      <c r="C247" s="254"/>
      <c r="D247" s="261">
        <v>1</v>
      </c>
      <c r="E247" s="262"/>
      <c r="F247" s="265">
        <v>4697400</v>
      </c>
      <c r="G247" s="267"/>
    </row>
    <row r="248" spans="1:7" ht="18.75" customHeight="1" x14ac:dyDescent="0.3">
      <c r="A248" s="252" t="s">
        <v>350</v>
      </c>
      <c r="B248" s="253"/>
      <c r="C248" s="254"/>
      <c r="D248" s="261">
        <v>1</v>
      </c>
      <c r="E248" s="262"/>
      <c r="F248" s="265">
        <v>19744</v>
      </c>
      <c r="G248" s="267"/>
    </row>
    <row r="249" spans="1:7" ht="18.75" x14ac:dyDescent="0.3">
      <c r="A249" s="252" t="s">
        <v>292</v>
      </c>
      <c r="B249" s="253"/>
      <c r="C249" s="254"/>
      <c r="D249" s="261">
        <v>1</v>
      </c>
      <c r="E249" s="262"/>
      <c r="F249" s="265">
        <v>36000</v>
      </c>
      <c r="G249" s="267"/>
    </row>
    <row r="250" spans="1:7" ht="18.75" customHeight="1" x14ac:dyDescent="0.3">
      <c r="A250" s="252" t="s">
        <v>293</v>
      </c>
      <c r="B250" s="253"/>
      <c r="C250" s="254"/>
      <c r="D250" s="261">
        <v>5</v>
      </c>
      <c r="E250" s="262"/>
      <c r="F250" s="265">
        <v>45000</v>
      </c>
      <c r="G250" s="267"/>
    </row>
    <row r="251" spans="1:7" ht="18.75" x14ac:dyDescent="0.3">
      <c r="A251" s="252" t="s">
        <v>351</v>
      </c>
      <c r="B251" s="253"/>
      <c r="C251" s="254"/>
      <c r="D251" s="261">
        <v>1</v>
      </c>
      <c r="E251" s="262"/>
      <c r="F251" s="265">
        <v>45000</v>
      </c>
      <c r="G251" s="267"/>
    </row>
    <row r="252" spans="1:7" ht="18.75" customHeight="1" x14ac:dyDescent="0.3">
      <c r="A252" s="252" t="s">
        <v>294</v>
      </c>
      <c r="B252" s="253"/>
      <c r="C252" s="254"/>
      <c r="D252" s="261">
        <v>1</v>
      </c>
      <c r="E252" s="262"/>
      <c r="F252" s="265">
        <v>6000</v>
      </c>
      <c r="G252" s="267"/>
    </row>
    <row r="253" spans="1:7" ht="18.75" x14ac:dyDescent="0.3">
      <c r="A253" s="252" t="s">
        <v>295</v>
      </c>
      <c r="B253" s="253"/>
      <c r="C253" s="254"/>
      <c r="D253" s="261">
        <v>9</v>
      </c>
      <c r="E253" s="262"/>
      <c r="F253" s="265">
        <v>83001.279999999999</v>
      </c>
      <c r="G253" s="267"/>
    </row>
    <row r="254" spans="1:7" ht="18.75" customHeight="1" x14ac:dyDescent="0.3">
      <c r="A254" s="252" t="s">
        <v>352</v>
      </c>
      <c r="B254" s="253"/>
      <c r="C254" s="254"/>
      <c r="D254" s="261">
        <v>1</v>
      </c>
      <c r="E254" s="262"/>
      <c r="F254" s="265">
        <v>55000</v>
      </c>
      <c r="G254" s="267"/>
    </row>
    <row r="255" spans="1:7" ht="18.75" x14ac:dyDescent="0.3">
      <c r="A255" s="252" t="s">
        <v>387</v>
      </c>
      <c r="B255" s="253"/>
      <c r="C255" s="254"/>
      <c r="D255" s="261">
        <v>6</v>
      </c>
      <c r="E255" s="262"/>
      <c r="F255" s="265">
        <v>7620</v>
      </c>
      <c r="G255" s="267"/>
    </row>
    <row r="256" spans="1:7" ht="18.75" customHeight="1" x14ac:dyDescent="0.3">
      <c r="A256" s="252" t="s">
        <v>388</v>
      </c>
      <c r="B256" s="253"/>
      <c r="C256" s="254"/>
      <c r="D256" s="261">
        <v>2</v>
      </c>
      <c r="E256" s="262"/>
      <c r="F256" s="265">
        <v>60000</v>
      </c>
      <c r="G256" s="267"/>
    </row>
    <row r="257" spans="1:7" ht="18.75" x14ac:dyDescent="0.3">
      <c r="A257" s="252" t="s">
        <v>383</v>
      </c>
      <c r="B257" s="253"/>
      <c r="C257" s="254"/>
      <c r="D257" s="261"/>
      <c r="E257" s="262"/>
      <c r="F257" s="265"/>
      <c r="G257" s="267"/>
    </row>
    <row r="258" spans="1:7" ht="18.75" customHeight="1" x14ac:dyDescent="0.3">
      <c r="A258" s="252" t="s">
        <v>413</v>
      </c>
      <c r="B258" s="253"/>
      <c r="C258" s="254"/>
      <c r="D258" s="261">
        <v>1</v>
      </c>
      <c r="E258" s="262"/>
      <c r="F258" s="265">
        <v>17350.5</v>
      </c>
      <c r="G258" s="267"/>
    </row>
    <row r="259" spans="1:7" ht="18.75" x14ac:dyDescent="0.3">
      <c r="A259" s="252" t="s">
        <v>414</v>
      </c>
      <c r="B259" s="253"/>
      <c r="C259" s="254"/>
      <c r="D259" s="261">
        <v>1</v>
      </c>
      <c r="E259" s="262"/>
      <c r="F259" s="265">
        <v>66394.58</v>
      </c>
      <c r="G259" s="267"/>
    </row>
    <row r="260" spans="1:7" ht="18.75" x14ac:dyDescent="0.3">
      <c r="A260" s="252" t="s">
        <v>140</v>
      </c>
      <c r="B260" s="253"/>
      <c r="C260" s="254"/>
      <c r="D260" s="261">
        <v>1</v>
      </c>
      <c r="E260" s="262"/>
      <c r="F260" s="265">
        <v>3459458.36</v>
      </c>
      <c r="G260" s="267"/>
    </row>
    <row r="261" spans="1:7" ht="18.75" customHeight="1" x14ac:dyDescent="0.3">
      <c r="A261" s="252" t="s">
        <v>415</v>
      </c>
      <c r="B261" s="253"/>
      <c r="C261" s="254"/>
      <c r="D261" s="261">
        <v>1</v>
      </c>
      <c r="E261" s="262"/>
      <c r="F261" s="265">
        <v>18507.2</v>
      </c>
      <c r="G261" s="267"/>
    </row>
    <row r="262" spans="1:7" ht="18.75" customHeight="1" x14ac:dyDescent="0.3">
      <c r="A262" s="252" t="s">
        <v>416</v>
      </c>
      <c r="B262" s="253"/>
      <c r="C262" s="254"/>
      <c r="D262" s="261">
        <v>2</v>
      </c>
      <c r="E262" s="262"/>
      <c r="F262" s="265">
        <v>69402</v>
      </c>
      <c r="G262" s="267"/>
    </row>
    <row r="263" spans="1:7" ht="18.75" customHeight="1" x14ac:dyDescent="0.3">
      <c r="A263" s="252" t="s">
        <v>352</v>
      </c>
      <c r="B263" s="253"/>
      <c r="C263" s="254"/>
      <c r="D263" s="261">
        <v>1</v>
      </c>
      <c r="E263" s="262"/>
      <c r="F263" s="265">
        <v>107573.1</v>
      </c>
      <c r="G263" s="267"/>
    </row>
    <row r="264" spans="1:7" ht="57.75" customHeight="1" x14ac:dyDescent="0.3">
      <c r="A264" s="252" t="s">
        <v>436</v>
      </c>
      <c r="B264" s="253"/>
      <c r="C264" s="254"/>
      <c r="D264" s="261">
        <v>1</v>
      </c>
      <c r="E264" s="262"/>
      <c r="F264" s="265">
        <f>28917.5+32276.76</f>
        <v>61194.259999999995</v>
      </c>
      <c r="G264" s="267"/>
    </row>
    <row r="265" spans="1:7" ht="18.75" x14ac:dyDescent="0.3">
      <c r="A265" s="252" t="s">
        <v>146</v>
      </c>
      <c r="B265" s="253"/>
      <c r="C265" s="254"/>
      <c r="D265" s="283"/>
      <c r="E265" s="284"/>
      <c r="F265" s="265">
        <f>'гос.задание на 2023-2024 год '!D58</f>
        <v>9008461.2799999993</v>
      </c>
      <c r="G265" s="267"/>
    </row>
    <row r="266" spans="1:7" ht="18.75" x14ac:dyDescent="0.25">
      <c r="A266" s="8"/>
    </row>
    <row r="267" spans="1:7" ht="18.75" x14ac:dyDescent="0.25">
      <c r="A267" s="274" t="s">
        <v>222</v>
      </c>
      <c r="B267" s="274"/>
      <c r="C267" s="274"/>
      <c r="D267" s="274"/>
      <c r="E267" s="274"/>
      <c r="F267" s="274"/>
      <c r="G267" s="274"/>
    </row>
    <row r="268" spans="1:7" ht="18.75" x14ac:dyDescent="0.25">
      <c r="A268" s="9"/>
    </row>
    <row r="269" spans="1:7" ht="18.75" x14ac:dyDescent="0.3">
      <c r="A269" s="9" t="s">
        <v>145</v>
      </c>
      <c r="B269" s="10">
        <v>244</v>
      </c>
    </row>
    <row r="270" spans="1:7" ht="18.75" x14ac:dyDescent="0.25">
      <c r="A270" s="8"/>
    </row>
    <row r="271" spans="1:7" ht="18.75" x14ac:dyDescent="0.25">
      <c r="A271" s="257" t="s">
        <v>86</v>
      </c>
      <c r="B271" s="258"/>
      <c r="C271" s="257" t="s">
        <v>137</v>
      </c>
      <c r="D271" s="258"/>
      <c r="E271" s="257" t="s">
        <v>138</v>
      </c>
      <c r="F271" s="286"/>
      <c r="G271" s="258"/>
    </row>
    <row r="272" spans="1:7" ht="18.75" x14ac:dyDescent="0.3">
      <c r="A272" s="257">
        <v>1</v>
      </c>
      <c r="B272" s="258"/>
      <c r="C272" s="257">
        <v>2</v>
      </c>
      <c r="D272" s="258"/>
      <c r="E272" s="248">
        <v>3</v>
      </c>
      <c r="F272" s="285"/>
      <c r="G272" s="249"/>
    </row>
    <row r="273" spans="1:7" ht="18.75" x14ac:dyDescent="0.3">
      <c r="A273" s="252" t="s">
        <v>25</v>
      </c>
      <c r="B273" s="254"/>
      <c r="C273" s="257">
        <v>1</v>
      </c>
      <c r="D273" s="258"/>
      <c r="E273" s="265">
        <f>'гос.задание на 2023-2024 год '!D59</f>
        <v>5067.62</v>
      </c>
      <c r="F273" s="266"/>
      <c r="G273" s="267"/>
    </row>
    <row r="274" spans="1:7" x14ac:dyDescent="0.25">
      <c r="A274" s="23"/>
    </row>
    <row r="275" spans="1:7" ht="18.75" x14ac:dyDescent="0.25">
      <c r="A275" s="8"/>
    </row>
    <row r="276" spans="1:7" ht="18.75" customHeight="1" x14ac:dyDescent="0.25">
      <c r="A276" s="282" t="s">
        <v>225</v>
      </c>
      <c r="B276" s="282"/>
      <c r="C276" s="282"/>
      <c r="D276" s="282"/>
      <c r="E276" s="282"/>
      <c r="F276" s="282"/>
      <c r="G276" s="282"/>
    </row>
    <row r="277" spans="1:7" ht="18.75" x14ac:dyDescent="0.25">
      <c r="A277" s="9"/>
    </row>
    <row r="278" spans="1:7" ht="18.75" x14ac:dyDescent="0.3">
      <c r="A278" s="9" t="s">
        <v>145</v>
      </c>
      <c r="B278" s="10">
        <v>244</v>
      </c>
    </row>
    <row r="279" spans="1:7" ht="18.75" x14ac:dyDescent="0.25">
      <c r="A279" s="8"/>
    </row>
    <row r="280" spans="1:7" ht="18.75" x14ac:dyDescent="0.25">
      <c r="A280" s="206" t="s">
        <v>86</v>
      </c>
      <c r="B280" s="275" t="s">
        <v>142</v>
      </c>
      <c r="C280" s="275"/>
      <c r="D280" s="275" t="s">
        <v>143</v>
      </c>
      <c r="E280" s="275"/>
      <c r="F280" s="275" t="s">
        <v>150</v>
      </c>
      <c r="G280" s="275"/>
    </row>
    <row r="281" spans="1:7" ht="18.75" x14ac:dyDescent="0.25">
      <c r="A281" s="206">
        <v>1</v>
      </c>
      <c r="B281" s="257">
        <v>2</v>
      </c>
      <c r="C281" s="258"/>
      <c r="D281" s="257">
        <v>3</v>
      </c>
      <c r="E281" s="258"/>
      <c r="F281" s="257">
        <v>4</v>
      </c>
      <c r="G281" s="258"/>
    </row>
    <row r="282" spans="1:7" ht="18.75" x14ac:dyDescent="0.25">
      <c r="A282" s="13"/>
      <c r="B282" s="287"/>
      <c r="C282" s="288"/>
      <c r="D282" s="287"/>
      <c r="E282" s="288"/>
      <c r="F282" s="336"/>
      <c r="G282" s="337"/>
    </row>
    <row r="283" spans="1:7" ht="18.75" x14ac:dyDescent="0.25">
      <c r="A283" s="13" t="s">
        <v>237</v>
      </c>
      <c r="B283" s="257"/>
      <c r="C283" s="258"/>
      <c r="D283" s="255"/>
      <c r="E283" s="256"/>
      <c r="F283" s="255">
        <f>'гос.задание на 2023-2024 год '!D97</f>
        <v>0</v>
      </c>
      <c r="G283" s="256"/>
    </row>
    <row r="284" spans="1:7" ht="18.75" x14ac:dyDescent="0.25">
      <c r="A284" s="13"/>
      <c r="B284" s="257"/>
      <c r="C284" s="258"/>
      <c r="D284" s="255"/>
      <c r="E284" s="256"/>
      <c r="F284" s="255"/>
      <c r="G284" s="256"/>
    </row>
    <row r="285" spans="1:7" ht="18.75" x14ac:dyDescent="0.25">
      <c r="A285" s="13" t="s">
        <v>238</v>
      </c>
      <c r="B285" s="257"/>
      <c r="C285" s="258"/>
      <c r="D285" s="255"/>
      <c r="E285" s="256"/>
      <c r="F285" s="255">
        <f>'гос.задание на 2023-2024 год '!D98</f>
        <v>0</v>
      </c>
      <c r="G285" s="256"/>
    </row>
    <row r="286" spans="1:7" ht="18.75" x14ac:dyDescent="0.25">
      <c r="A286" s="13"/>
      <c r="B286" s="257"/>
      <c r="C286" s="258"/>
      <c r="D286" s="255"/>
      <c r="E286" s="256"/>
      <c r="F286" s="255"/>
      <c r="G286" s="256"/>
    </row>
    <row r="287" spans="1:7" ht="18.75" x14ac:dyDescent="0.25">
      <c r="A287" s="13" t="s">
        <v>239</v>
      </c>
      <c r="B287" s="257"/>
      <c r="C287" s="258"/>
      <c r="D287" s="255"/>
      <c r="E287" s="256"/>
      <c r="F287" s="255">
        <f>'гос.задание на 2023-2024 год '!D99</f>
        <v>290000</v>
      </c>
      <c r="G287" s="256"/>
    </row>
    <row r="288" spans="1:7" ht="18.75" x14ac:dyDescent="0.25">
      <c r="A288" s="13" t="s">
        <v>296</v>
      </c>
      <c r="B288" s="257">
        <v>5370.37</v>
      </c>
      <c r="C288" s="258"/>
      <c r="D288" s="255">
        <v>54</v>
      </c>
      <c r="E288" s="256"/>
      <c r="F288" s="255">
        <v>290000</v>
      </c>
      <c r="G288" s="256"/>
    </row>
    <row r="289" spans="1:7" ht="18.75" x14ac:dyDescent="0.25">
      <c r="A289" s="13" t="s">
        <v>240</v>
      </c>
      <c r="B289" s="257"/>
      <c r="C289" s="258"/>
      <c r="D289" s="255"/>
      <c r="E289" s="256"/>
      <c r="F289" s="255">
        <f>'гос.задание на 2023-2024 год '!D100</f>
        <v>200000</v>
      </c>
      <c r="G289" s="256"/>
    </row>
    <row r="290" spans="1:7" ht="18.75" x14ac:dyDescent="0.25">
      <c r="A290" s="13" t="s">
        <v>297</v>
      </c>
      <c r="B290" s="257">
        <v>4000</v>
      </c>
      <c r="C290" s="258"/>
      <c r="D290" s="255">
        <v>50</v>
      </c>
      <c r="E290" s="256"/>
      <c r="F290" s="255">
        <v>200000</v>
      </c>
      <c r="G290" s="256"/>
    </row>
    <row r="291" spans="1:7" ht="18.75" x14ac:dyDescent="0.25">
      <c r="A291" s="13" t="s">
        <v>241</v>
      </c>
      <c r="B291" s="257"/>
      <c r="C291" s="258"/>
      <c r="D291" s="255"/>
      <c r="E291" s="256"/>
      <c r="F291" s="255">
        <f>'гос.задание на 2023-2024 год '!D101</f>
        <v>334245</v>
      </c>
      <c r="G291" s="256"/>
    </row>
    <row r="292" spans="1:7" ht="18.75" x14ac:dyDescent="0.25">
      <c r="A292" s="13" t="s">
        <v>298</v>
      </c>
      <c r="B292" s="257">
        <v>36</v>
      </c>
      <c r="C292" s="258"/>
      <c r="D292" s="255">
        <v>1666.67</v>
      </c>
      <c r="E292" s="256"/>
      <c r="F292" s="255">
        <v>60000</v>
      </c>
      <c r="G292" s="256"/>
    </row>
    <row r="293" spans="1:7" ht="18.75" x14ac:dyDescent="0.25">
      <c r="A293" s="13" t="s">
        <v>299</v>
      </c>
      <c r="B293" s="257">
        <v>20</v>
      </c>
      <c r="C293" s="258"/>
      <c r="D293" s="255">
        <v>4000</v>
      </c>
      <c r="E293" s="256"/>
      <c r="F293" s="255">
        <v>80000</v>
      </c>
      <c r="G293" s="256"/>
    </row>
    <row r="294" spans="1:7" ht="18.75" x14ac:dyDescent="0.25">
      <c r="A294" s="13" t="s">
        <v>300</v>
      </c>
      <c r="B294" s="257">
        <v>50</v>
      </c>
      <c r="C294" s="258"/>
      <c r="D294" s="255">
        <v>3884.9</v>
      </c>
      <c r="E294" s="256"/>
      <c r="F294" s="255">
        <v>194245</v>
      </c>
      <c r="G294" s="256"/>
    </row>
    <row r="295" spans="1:7" ht="18.75" x14ac:dyDescent="0.25">
      <c r="A295" s="13" t="s">
        <v>242</v>
      </c>
      <c r="B295" s="257"/>
      <c r="C295" s="258"/>
      <c r="D295" s="255"/>
      <c r="E295" s="256"/>
      <c r="F295" s="255">
        <f>'гос.задание на 2023-2024 год '!D102</f>
        <v>8428958.6199999992</v>
      </c>
      <c r="G295" s="256"/>
    </row>
    <row r="296" spans="1:7" ht="18.75" x14ac:dyDescent="0.25">
      <c r="A296" s="13" t="s">
        <v>382</v>
      </c>
      <c r="B296" s="259"/>
      <c r="C296" s="260"/>
      <c r="D296" s="255"/>
      <c r="E296" s="256"/>
      <c r="F296" s="255"/>
      <c r="G296" s="256"/>
    </row>
    <row r="297" spans="1:7" ht="18.75" x14ac:dyDescent="0.25">
      <c r="A297" s="13" t="s">
        <v>301</v>
      </c>
      <c r="B297" s="259">
        <v>1000</v>
      </c>
      <c r="C297" s="260"/>
      <c r="D297" s="255">
        <v>45</v>
      </c>
      <c r="E297" s="256"/>
      <c r="F297" s="255">
        <v>45000</v>
      </c>
      <c r="G297" s="256"/>
    </row>
    <row r="298" spans="1:7" ht="18.75" x14ac:dyDescent="0.25">
      <c r="A298" s="13" t="s">
        <v>302</v>
      </c>
      <c r="B298" s="259">
        <v>1999</v>
      </c>
      <c r="C298" s="260"/>
      <c r="D298" s="255">
        <v>22.9</v>
      </c>
      <c r="E298" s="256"/>
      <c r="F298" s="255">
        <v>45777.120000000003</v>
      </c>
      <c r="G298" s="256"/>
    </row>
    <row r="299" spans="1:7" ht="37.5" x14ac:dyDescent="0.25">
      <c r="A299" s="13" t="s">
        <v>303</v>
      </c>
      <c r="B299" s="259">
        <v>141</v>
      </c>
      <c r="C299" s="260"/>
      <c r="D299" s="255">
        <v>2593.62</v>
      </c>
      <c r="E299" s="256"/>
      <c r="F299" s="255">
        <f>45000+180700+140000</f>
        <v>365700</v>
      </c>
      <c r="G299" s="256"/>
    </row>
    <row r="300" spans="1:7" ht="18.75" x14ac:dyDescent="0.25">
      <c r="A300" s="13" t="s">
        <v>304</v>
      </c>
      <c r="B300" s="259">
        <v>200</v>
      </c>
      <c r="C300" s="260"/>
      <c r="D300" s="255">
        <v>1400</v>
      </c>
      <c r="E300" s="256"/>
      <c r="F300" s="255">
        <v>280000</v>
      </c>
      <c r="G300" s="256"/>
    </row>
    <row r="301" spans="1:7" ht="37.5" x14ac:dyDescent="0.25">
      <c r="A301" s="13" t="s">
        <v>305</v>
      </c>
      <c r="B301" s="259">
        <v>500</v>
      </c>
      <c r="C301" s="260"/>
      <c r="D301" s="255">
        <v>12350.16</v>
      </c>
      <c r="E301" s="256"/>
      <c r="F301" s="255">
        <v>6175081.5</v>
      </c>
      <c r="G301" s="256"/>
    </row>
    <row r="302" spans="1:7" ht="18.75" x14ac:dyDescent="0.25">
      <c r="A302" s="13" t="s">
        <v>383</v>
      </c>
      <c r="B302" s="259"/>
      <c r="C302" s="260"/>
      <c r="D302" s="255"/>
      <c r="E302" s="256"/>
      <c r="F302" s="255"/>
      <c r="G302" s="256"/>
    </row>
    <row r="303" spans="1:7" ht="18.75" x14ac:dyDescent="0.25">
      <c r="A303" s="13" t="s">
        <v>418</v>
      </c>
      <c r="B303" s="259">
        <v>1000</v>
      </c>
      <c r="C303" s="260"/>
      <c r="D303" s="255">
        <v>162.62</v>
      </c>
      <c r="E303" s="256"/>
      <c r="F303" s="255">
        <v>162620</v>
      </c>
      <c r="G303" s="256"/>
    </row>
    <row r="304" spans="1:7" ht="18.75" x14ac:dyDescent="0.25">
      <c r="A304" s="13" t="s">
        <v>419</v>
      </c>
      <c r="B304" s="259">
        <v>500</v>
      </c>
      <c r="C304" s="260"/>
      <c r="D304" s="255">
        <v>525.54</v>
      </c>
      <c r="E304" s="256"/>
      <c r="F304" s="255">
        <v>262770</v>
      </c>
      <c r="G304" s="256"/>
    </row>
    <row r="305" spans="1:7" ht="37.5" x14ac:dyDescent="0.25">
      <c r="A305" s="13" t="s">
        <v>420</v>
      </c>
      <c r="B305" s="259">
        <v>30</v>
      </c>
      <c r="C305" s="260"/>
      <c r="D305" s="255">
        <v>212.51</v>
      </c>
      <c r="E305" s="256"/>
      <c r="F305" s="255">
        <v>6375.3</v>
      </c>
      <c r="G305" s="256"/>
    </row>
    <row r="306" spans="1:7" ht="37.5" x14ac:dyDescent="0.25">
      <c r="A306" s="13" t="s">
        <v>438</v>
      </c>
      <c r="B306" s="259">
        <v>12</v>
      </c>
      <c r="C306" s="260"/>
      <c r="D306" s="255">
        <v>13858.18</v>
      </c>
      <c r="E306" s="256"/>
      <c r="F306" s="255">
        <v>166298.20000000001</v>
      </c>
      <c r="G306" s="256"/>
    </row>
    <row r="307" spans="1:7" ht="18.75" x14ac:dyDescent="0.25">
      <c r="A307" s="13" t="s">
        <v>422</v>
      </c>
      <c r="B307" s="259">
        <v>1000</v>
      </c>
      <c r="C307" s="260"/>
      <c r="D307" s="255">
        <v>8.31</v>
      </c>
      <c r="E307" s="256"/>
      <c r="F307" s="255">
        <v>8310</v>
      </c>
      <c r="G307" s="256"/>
    </row>
    <row r="308" spans="1:7" ht="18.75" x14ac:dyDescent="0.25">
      <c r="A308" s="13" t="s">
        <v>301</v>
      </c>
      <c r="B308" s="259">
        <v>1000</v>
      </c>
      <c r="C308" s="260"/>
      <c r="D308" s="255">
        <v>277.19</v>
      </c>
      <c r="E308" s="256"/>
      <c r="F308" s="255">
        <v>277190</v>
      </c>
      <c r="G308" s="256"/>
    </row>
    <row r="309" spans="1:7" ht="18.75" x14ac:dyDescent="0.25">
      <c r="A309" s="13" t="s">
        <v>423</v>
      </c>
      <c r="B309" s="259">
        <v>70</v>
      </c>
      <c r="C309" s="260"/>
      <c r="D309" s="255">
        <v>791.95</v>
      </c>
      <c r="E309" s="256"/>
      <c r="F309" s="255">
        <v>55436.5</v>
      </c>
      <c r="G309" s="256"/>
    </row>
    <row r="310" spans="1:7" ht="18.75" x14ac:dyDescent="0.25">
      <c r="A310" s="13" t="s">
        <v>302</v>
      </c>
      <c r="B310" s="259">
        <v>2000</v>
      </c>
      <c r="C310" s="260"/>
      <c r="D310" s="255">
        <v>132.13</v>
      </c>
      <c r="E310" s="256"/>
      <c r="F310" s="255">
        <v>264260</v>
      </c>
      <c r="G310" s="256"/>
    </row>
    <row r="311" spans="1:7" ht="37.5" x14ac:dyDescent="0.25">
      <c r="A311" s="13" t="s">
        <v>305</v>
      </c>
      <c r="B311" s="259">
        <v>80</v>
      </c>
      <c r="C311" s="260"/>
      <c r="D311" s="255">
        <v>3926.75</v>
      </c>
      <c r="E311" s="256"/>
      <c r="F311" s="255">
        <v>314140</v>
      </c>
      <c r="G311" s="256"/>
    </row>
    <row r="312" spans="1:7" ht="18.75" x14ac:dyDescent="0.25">
      <c r="A312" s="13" t="s">
        <v>243</v>
      </c>
      <c r="B312" s="257"/>
      <c r="C312" s="258"/>
      <c r="D312" s="255"/>
      <c r="E312" s="256"/>
      <c r="F312" s="255">
        <f>'гос.задание на 2023-2024 год '!D104</f>
        <v>148700</v>
      </c>
      <c r="G312" s="256"/>
    </row>
    <row r="313" spans="1:7" ht="37.5" x14ac:dyDescent="0.25">
      <c r="A313" s="13" t="s">
        <v>389</v>
      </c>
      <c r="B313" s="259">
        <v>100000</v>
      </c>
      <c r="C313" s="260"/>
      <c r="D313" s="255">
        <v>1.48</v>
      </c>
      <c r="E313" s="256"/>
      <c r="F313" s="255">
        <v>148700</v>
      </c>
      <c r="G313" s="256"/>
    </row>
    <row r="314" spans="1:7" ht="18.75" x14ac:dyDescent="0.25">
      <c r="A314" s="15"/>
      <c r="B314" s="16"/>
      <c r="C314" s="16"/>
      <c r="D314" s="16"/>
      <c r="E314" s="16"/>
      <c r="F314" s="78"/>
      <c r="G314" s="78"/>
    </row>
    <row r="315" spans="1:7" ht="18.75" x14ac:dyDescent="0.25">
      <c r="A315" s="29"/>
    </row>
    <row r="316" spans="1:7" ht="18.75" x14ac:dyDescent="0.3">
      <c r="A316" s="29" t="s">
        <v>151</v>
      </c>
      <c r="B316" s="10"/>
      <c r="C316" s="224"/>
      <c r="D316" s="224"/>
      <c r="E316" s="10"/>
      <c r="F316" s="224" t="s">
        <v>499</v>
      </c>
      <c r="G316" s="224"/>
    </row>
    <row r="317" spans="1:7" ht="18.75" x14ac:dyDescent="0.3">
      <c r="A317" s="29"/>
      <c r="B317" s="10"/>
      <c r="C317" s="223" t="s">
        <v>53</v>
      </c>
      <c r="D317" s="223"/>
      <c r="E317" s="10"/>
      <c r="F317" s="223" t="s">
        <v>54</v>
      </c>
      <c r="G317" s="223"/>
    </row>
    <row r="318" spans="1:7" ht="18.75" x14ac:dyDescent="0.3">
      <c r="A318" s="29"/>
      <c r="B318" s="10"/>
      <c r="C318" s="204"/>
      <c r="D318" s="204"/>
      <c r="E318" s="10"/>
      <c r="F318" s="204"/>
      <c r="G318" s="204"/>
    </row>
    <row r="319" spans="1:7" ht="18.75" x14ac:dyDescent="0.3">
      <c r="A319" s="29" t="s">
        <v>152</v>
      </c>
      <c r="B319" s="10"/>
      <c r="C319" s="224"/>
      <c r="D319" s="224"/>
      <c r="E319" s="10"/>
      <c r="F319" s="224" t="s">
        <v>500</v>
      </c>
      <c r="G319" s="224"/>
    </row>
    <row r="320" spans="1:7" ht="18.75" x14ac:dyDescent="0.3">
      <c r="A320" s="29"/>
      <c r="B320" s="10"/>
      <c r="C320" s="223" t="s">
        <v>53</v>
      </c>
      <c r="D320" s="223"/>
      <c r="E320" s="10"/>
      <c r="F320" s="223" t="s">
        <v>54</v>
      </c>
      <c r="G320" s="223"/>
    </row>
    <row r="321" spans="1:7" ht="18.75" x14ac:dyDescent="0.3">
      <c r="A321" s="29"/>
      <c r="B321" s="10"/>
      <c r="C321" s="204"/>
      <c r="D321" s="204"/>
      <c r="E321" s="10"/>
      <c r="F321" s="204"/>
      <c r="G321" s="204"/>
    </row>
    <row r="322" spans="1:7" ht="18.75" x14ac:dyDescent="0.3">
      <c r="A322" s="29" t="s">
        <v>153</v>
      </c>
      <c r="B322" s="10"/>
      <c r="C322" s="224"/>
      <c r="D322" s="224"/>
      <c r="E322" s="10"/>
      <c r="F322" s="224" t="s">
        <v>500</v>
      </c>
      <c r="G322" s="224"/>
    </row>
    <row r="323" spans="1:7" ht="18.75" x14ac:dyDescent="0.3">
      <c r="A323" s="29"/>
      <c r="B323" s="10"/>
      <c r="C323" s="223" t="s">
        <v>53</v>
      </c>
      <c r="D323" s="223"/>
      <c r="E323" s="10"/>
      <c r="F323" s="223" t="s">
        <v>54</v>
      </c>
      <c r="G323" s="223"/>
    </row>
    <row r="324" spans="1:7" ht="18.75" x14ac:dyDescent="0.3">
      <c r="A324" s="29" t="s">
        <v>154</v>
      </c>
      <c r="B324" s="10"/>
      <c r="C324" s="10"/>
      <c r="D324" s="10"/>
      <c r="E324" s="10"/>
      <c r="F324" s="10"/>
      <c r="G324" s="10"/>
    </row>
    <row r="325" spans="1:7" ht="18.75" x14ac:dyDescent="0.3">
      <c r="A325" s="222" t="s">
        <v>44</v>
      </c>
      <c r="B325" s="222"/>
      <c r="C325" s="10"/>
      <c r="D325" s="10"/>
      <c r="E325" s="10"/>
      <c r="F325" s="10"/>
      <c r="G325" s="10"/>
    </row>
  </sheetData>
  <mergeCells count="485">
    <mergeCell ref="C323:D323"/>
    <mergeCell ref="F323:G323"/>
    <mergeCell ref="A325:B325"/>
    <mergeCell ref="C319:D319"/>
    <mergeCell ref="F319:G319"/>
    <mergeCell ref="C320:D320"/>
    <mergeCell ref="F320:G320"/>
    <mergeCell ref="C322:D322"/>
    <mergeCell ref="F322:G322"/>
    <mergeCell ref="B313:C313"/>
    <mergeCell ref="D313:E313"/>
    <mergeCell ref="F313:G313"/>
    <mergeCell ref="C316:D316"/>
    <mergeCell ref="F316:G316"/>
    <mergeCell ref="C317:D317"/>
    <mergeCell ref="F317:G317"/>
    <mergeCell ref="B311:C311"/>
    <mergeCell ref="D311:E311"/>
    <mergeCell ref="F311:G311"/>
    <mergeCell ref="B312:C312"/>
    <mergeCell ref="D312:E312"/>
    <mergeCell ref="F312:G312"/>
    <mergeCell ref="B309:C309"/>
    <mergeCell ref="D309:E309"/>
    <mergeCell ref="F309:G309"/>
    <mergeCell ref="B310:C310"/>
    <mergeCell ref="D310:E310"/>
    <mergeCell ref="F310:G310"/>
    <mergeCell ref="B307:C307"/>
    <mergeCell ref="D307:E307"/>
    <mergeCell ref="F307:G307"/>
    <mergeCell ref="B308:C308"/>
    <mergeCell ref="D308:E308"/>
    <mergeCell ref="F308:G308"/>
    <mergeCell ref="B305:C305"/>
    <mergeCell ref="D305:E305"/>
    <mergeCell ref="F305:G305"/>
    <mergeCell ref="B306:C306"/>
    <mergeCell ref="D306:E306"/>
    <mergeCell ref="F306:G306"/>
    <mergeCell ref="B303:C303"/>
    <mergeCell ref="D303:E303"/>
    <mergeCell ref="F303:G303"/>
    <mergeCell ref="B304:C304"/>
    <mergeCell ref="D304:E304"/>
    <mergeCell ref="F304:G304"/>
    <mergeCell ref="B301:C301"/>
    <mergeCell ref="D301:E301"/>
    <mergeCell ref="F301:G301"/>
    <mergeCell ref="B302:C302"/>
    <mergeCell ref="D302:E302"/>
    <mergeCell ref="F302:G302"/>
    <mergeCell ref="B299:C299"/>
    <mergeCell ref="D299:E299"/>
    <mergeCell ref="F299:G299"/>
    <mergeCell ref="B300:C300"/>
    <mergeCell ref="D300:E300"/>
    <mergeCell ref="F300:G300"/>
    <mergeCell ref="B297:C297"/>
    <mergeCell ref="D297:E297"/>
    <mergeCell ref="F297:G297"/>
    <mergeCell ref="B298:C298"/>
    <mergeCell ref="D298:E298"/>
    <mergeCell ref="F298:G298"/>
    <mergeCell ref="B295:C295"/>
    <mergeCell ref="D295:E295"/>
    <mergeCell ref="F295:G295"/>
    <mergeCell ref="B296:C296"/>
    <mergeCell ref="D296:E296"/>
    <mergeCell ref="F296:G296"/>
    <mergeCell ref="B293:C293"/>
    <mergeCell ref="D293:E293"/>
    <mergeCell ref="F293:G293"/>
    <mergeCell ref="B294:C294"/>
    <mergeCell ref="D294:E294"/>
    <mergeCell ref="F294:G294"/>
    <mergeCell ref="B291:C291"/>
    <mergeCell ref="D291:E291"/>
    <mergeCell ref="F291:G291"/>
    <mergeCell ref="B292:C292"/>
    <mergeCell ref="D292:E292"/>
    <mergeCell ref="F292:G292"/>
    <mergeCell ref="B289:C289"/>
    <mergeCell ref="D289:E289"/>
    <mergeCell ref="F289:G289"/>
    <mergeCell ref="B290:C290"/>
    <mergeCell ref="D290:E290"/>
    <mergeCell ref="F290:G290"/>
    <mergeCell ref="B287:C287"/>
    <mergeCell ref="D287:E287"/>
    <mergeCell ref="F287:G287"/>
    <mergeCell ref="B288:C288"/>
    <mergeCell ref="D288:E288"/>
    <mergeCell ref="F288:G288"/>
    <mergeCell ref="B285:C285"/>
    <mergeCell ref="D285:E285"/>
    <mergeCell ref="F285:G285"/>
    <mergeCell ref="B286:C286"/>
    <mergeCell ref="D286:E286"/>
    <mergeCell ref="F286:G286"/>
    <mergeCell ref="B283:C283"/>
    <mergeCell ref="D283:E283"/>
    <mergeCell ref="F283:G283"/>
    <mergeCell ref="B284:C284"/>
    <mergeCell ref="D284:E284"/>
    <mergeCell ref="F284:G284"/>
    <mergeCell ref="B281:C281"/>
    <mergeCell ref="D281:E281"/>
    <mergeCell ref="F281:G281"/>
    <mergeCell ref="B282:C282"/>
    <mergeCell ref="D282:E282"/>
    <mergeCell ref="F282:G282"/>
    <mergeCell ref="A273:B273"/>
    <mergeCell ref="C273:D273"/>
    <mergeCell ref="E273:G273"/>
    <mergeCell ref="A276:G276"/>
    <mergeCell ref="B280:C280"/>
    <mergeCell ref="D280:E280"/>
    <mergeCell ref="F280:G280"/>
    <mergeCell ref="A267:G267"/>
    <mergeCell ref="A271:B271"/>
    <mergeCell ref="C271:D271"/>
    <mergeCell ref="E271:G271"/>
    <mergeCell ref="A272:B272"/>
    <mergeCell ref="C272:D272"/>
    <mergeCell ref="E272:G272"/>
    <mergeCell ref="A264:C264"/>
    <mergeCell ref="D264:E264"/>
    <mergeCell ref="F264:G264"/>
    <mergeCell ref="A265:C265"/>
    <mergeCell ref="D265:E265"/>
    <mergeCell ref="F265:G265"/>
    <mergeCell ref="A262:C262"/>
    <mergeCell ref="D262:E262"/>
    <mergeCell ref="F262:G262"/>
    <mergeCell ref="A263:C263"/>
    <mergeCell ref="D263:E263"/>
    <mergeCell ref="F263:G263"/>
    <mergeCell ref="A260:C260"/>
    <mergeCell ref="D260:E260"/>
    <mergeCell ref="F260:G260"/>
    <mergeCell ref="A261:C261"/>
    <mergeCell ref="D261:E261"/>
    <mergeCell ref="F261:G261"/>
    <mergeCell ref="A258:C258"/>
    <mergeCell ref="D258:E258"/>
    <mergeCell ref="F258:G258"/>
    <mergeCell ref="A259:C259"/>
    <mergeCell ref="D259:E259"/>
    <mergeCell ref="F259:G259"/>
    <mergeCell ref="A256:C256"/>
    <mergeCell ref="D256:E256"/>
    <mergeCell ref="F256:G256"/>
    <mergeCell ref="A257:C257"/>
    <mergeCell ref="D257:E257"/>
    <mergeCell ref="F257:G257"/>
    <mergeCell ref="A254:C254"/>
    <mergeCell ref="D254:E254"/>
    <mergeCell ref="F254:G254"/>
    <mergeCell ref="A255:C255"/>
    <mergeCell ref="D255:E255"/>
    <mergeCell ref="F255:G255"/>
    <mergeCell ref="A252:C252"/>
    <mergeCell ref="D252:E252"/>
    <mergeCell ref="F252:G252"/>
    <mergeCell ref="A253:C253"/>
    <mergeCell ref="D253:E253"/>
    <mergeCell ref="F253:G253"/>
    <mergeCell ref="A250:C250"/>
    <mergeCell ref="D250:E250"/>
    <mergeCell ref="F250:G250"/>
    <mergeCell ref="A251:C251"/>
    <mergeCell ref="D251:E251"/>
    <mergeCell ref="F251:G251"/>
    <mergeCell ref="A248:C248"/>
    <mergeCell ref="D248:E248"/>
    <mergeCell ref="F248:G248"/>
    <mergeCell ref="A249:C249"/>
    <mergeCell ref="D249:E249"/>
    <mergeCell ref="F249:G249"/>
    <mergeCell ref="A246:C246"/>
    <mergeCell ref="D246:E246"/>
    <mergeCell ref="F246:G246"/>
    <mergeCell ref="A247:C247"/>
    <mergeCell ref="D247:E247"/>
    <mergeCell ref="F247:G247"/>
    <mergeCell ref="A244:C244"/>
    <mergeCell ref="D244:E244"/>
    <mergeCell ref="F244:G244"/>
    <mergeCell ref="A245:C245"/>
    <mergeCell ref="D245:E245"/>
    <mergeCell ref="F245:G245"/>
    <mergeCell ref="A237:C237"/>
    <mergeCell ref="D237:E237"/>
    <mergeCell ref="F237:G237"/>
    <mergeCell ref="A239:G239"/>
    <mergeCell ref="A243:C243"/>
    <mergeCell ref="D243:E243"/>
    <mergeCell ref="F243:G243"/>
    <mergeCell ref="A235:C235"/>
    <mergeCell ref="D235:E235"/>
    <mergeCell ref="F235:G235"/>
    <mergeCell ref="A236:C236"/>
    <mergeCell ref="D236:E236"/>
    <mergeCell ref="F236:G236"/>
    <mergeCell ref="A233:C233"/>
    <mergeCell ref="D233:E233"/>
    <mergeCell ref="F233:G233"/>
    <mergeCell ref="A234:C234"/>
    <mergeCell ref="D234:E234"/>
    <mergeCell ref="F234:G234"/>
    <mergeCell ref="A231:C231"/>
    <mergeCell ref="D231:E231"/>
    <mergeCell ref="F231:G231"/>
    <mergeCell ref="A232:C232"/>
    <mergeCell ref="D232:E232"/>
    <mergeCell ref="F232:G232"/>
    <mergeCell ref="A229:C229"/>
    <mergeCell ref="D229:E229"/>
    <mergeCell ref="F229:G229"/>
    <mergeCell ref="A230:C230"/>
    <mergeCell ref="D230:E230"/>
    <mergeCell ref="F230:G230"/>
    <mergeCell ref="A227:C227"/>
    <mergeCell ref="D227:E227"/>
    <mergeCell ref="F227:G227"/>
    <mergeCell ref="A228:C228"/>
    <mergeCell ref="D228:E228"/>
    <mergeCell ref="F228:G228"/>
    <mergeCell ref="A225:C225"/>
    <mergeCell ref="D225:E225"/>
    <mergeCell ref="F225:G225"/>
    <mergeCell ref="A226:C226"/>
    <mergeCell ref="D226:E226"/>
    <mergeCell ref="F226:G226"/>
    <mergeCell ref="A223:C223"/>
    <mergeCell ref="D223:E223"/>
    <mergeCell ref="F223:G223"/>
    <mergeCell ref="A224:C224"/>
    <mergeCell ref="D224:E224"/>
    <mergeCell ref="F224:G224"/>
    <mergeCell ref="A221:C221"/>
    <mergeCell ref="D221:E221"/>
    <mergeCell ref="F221:G221"/>
    <mergeCell ref="A222:C222"/>
    <mergeCell ref="D222:E222"/>
    <mergeCell ref="F222:G222"/>
    <mergeCell ref="A219:C219"/>
    <mergeCell ref="D219:E219"/>
    <mergeCell ref="F219:G219"/>
    <mergeCell ref="A220:C220"/>
    <mergeCell ref="D220:E220"/>
    <mergeCell ref="F220:G220"/>
    <mergeCell ref="A217:C217"/>
    <mergeCell ref="D217:E217"/>
    <mergeCell ref="F217:G217"/>
    <mergeCell ref="A218:C218"/>
    <mergeCell ref="D218:E218"/>
    <mergeCell ref="F218:G218"/>
    <mergeCell ref="A215:C215"/>
    <mergeCell ref="D215:E215"/>
    <mergeCell ref="F215:G215"/>
    <mergeCell ref="A216:C216"/>
    <mergeCell ref="D216:E216"/>
    <mergeCell ref="F216:G216"/>
    <mergeCell ref="A213:C213"/>
    <mergeCell ref="D213:E213"/>
    <mergeCell ref="F213:G213"/>
    <mergeCell ref="A214:C214"/>
    <mergeCell ref="D214:E214"/>
    <mergeCell ref="F214:G214"/>
    <mergeCell ref="A211:C211"/>
    <mergeCell ref="D211:E211"/>
    <mergeCell ref="F211:G211"/>
    <mergeCell ref="A212:C212"/>
    <mergeCell ref="D212:E212"/>
    <mergeCell ref="F212:G212"/>
    <mergeCell ref="A209:C209"/>
    <mergeCell ref="D209:E209"/>
    <mergeCell ref="F209:G209"/>
    <mergeCell ref="A210:C210"/>
    <mergeCell ref="D210:E210"/>
    <mergeCell ref="F210:G210"/>
    <mergeCell ref="A207:C207"/>
    <mergeCell ref="D207:E207"/>
    <mergeCell ref="F207:G207"/>
    <mergeCell ref="A208:C208"/>
    <mergeCell ref="D208:E208"/>
    <mergeCell ref="F208:G208"/>
    <mergeCell ref="A205:C205"/>
    <mergeCell ref="D205:E205"/>
    <mergeCell ref="F205:G205"/>
    <mergeCell ref="A206:C206"/>
    <mergeCell ref="D206:E206"/>
    <mergeCell ref="F206:G206"/>
    <mergeCell ref="A203:C203"/>
    <mergeCell ref="D203:E203"/>
    <mergeCell ref="F203:G203"/>
    <mergeCell ref="A204:C204"/>
    <mergeCell ref="D204:E204"/>
    <mergeCell ref="F204:G204"/>
    <mergeCell ref="A201:C201"/>
    <mergeCell ref="D201:E201"/>
    <mergeCell ref="F201:G201"/>
    <mergeCell ref="A202:C202"/>
    <mergeCell ref="D202:E202"/>
    <mergeCell ref="F202:G202"/>
    <mergeCell ref="A199:C199"/>
    <mergeCell ref="D199:E199"/>
    <mergeCell ref="F199:G199"/>
    <mergeCell ref="A200:C200"/>
    <mergeCell ref="D200:E200"/>
    <mergeCell ref="F200:G200"/>
    <mergeCell ref="A197:C197"/>
    <mergeCell ref="D197:E197"/>
    <mergeCell ref="F197:G197"/>
    <mergeCell ref="A198:C198"/>
    <mergeCell ref="D198:E198"/>
    <mergeCell ref="F198:G198"/>
    <mergeCell ref="A195:C195"/>
    <mergeCell ref="D195:E195"/>
    <mergeCell ref="F195:G195"/>
    <mergeCell ref="A196:C196"/>
    <mergeCell ref="D196:E196"/>
    <mergeCell ref="F196:G196"/>
    <mergeCell ref="A193:C193"/>
    <mergeCell ref="D193:E193"/>
    <mergeCell ref="F193:G193"/>
    <mergeCell ref="A194:C194"/>
    <mergeCell ref="D194:E194"/>
    <mergeCell ref="F194:G194"/>
    <mergeCell ref="B186:C186"/>
    <mergeCell ref="D186:E186"/>
    <mergeCell ref="F186:G186"/>
    <mergeCell ref="A188:G188"/>
    <mergeCell ref="A192:C192"/>
    <mergeCell ref="D192:E192"/>
    <mergeCell ref="F192:G192"/>
    <mergeCell ref="B182:C182"/>
    <mergeCell ref="D182:E182"/>
    <mergeCell ref="F182:G183"/>
    <mergeCell ref="B183:C183"/>
    <mergeCell ref="D183:E183"/>
    <mergeCell ref="B184:C184"/>
    <mergeCell ref="D184:E184"/>
    <mergeCell ref="F184:G185"/>
    <mergeCell ref="B185:C185"/>
    <mergeCell ref="D185:E185"/>
    <mergeCell ref="B178:C178"/>
    <mergeCell ref="D178:E178"/>
    <mergeCell ref="F178:G179"/>
    <mergeCell ref="B179:C179"/>
    <mergeCell ref="D179:E179"/>
    <mergeCell ref="B180:C180"/>
    <mergeCell ref="D180:E180"/>
    <mergeCell ref="F180:G181"/>
    <mergeCell ref="B181:C181"/>
    <mergeCell ref="D181:E181"/>
    <mergeCell ref="B176:C176"/>
    <mergeCell ref="D176:E176"/>
    <mergeCell ref="F176:G176"/>
    <mergeCell ref="B177:C177"/>
    <mergeCell ref="D177:E177"/>
    <mergeCell ref="F177:G177"/>
    <mergeCell ref="B169:C169"/>
    <mergeCell ref="D169:E169"/>
    <mergeCell ref="F169:G169"/>
    <mergeCell ref="A171:G171"/>
    <mergeCell ref="B175:C175"/>
    <mergeCell ref="D175:E175"/>
    <mergeCell ref="F175:G175"/>
    <mergeCell ref="B167:C167"/>
    <mergeCell ref="D167:E167"/>
    <mergeCell ref="F167:G167"/>
    <mergeCell ref="B168:C168"/>
    <mergeCell ref="D168:E168"/>
    <mergeCell ref="F168:G168"/>
    <mergeCell ref="B165:C165"/>
    <mergeCell ref="D165:E165"/>
    <mergeCell ref="F165:G165"/>
    <mergeCell ref="B166:C166"/>
    <mergeCell ref="D166:E166"/>
    <mergeCell ref="F166:G166"/>
    <mergeCell ref="B163:C163"/>
    <mergeCell ref="D163:E163"/>
    <mergeCell ref="F163:G163"/>
    <mergeCell ref="B164:C164"/>
    <mergeCell ref="D164:E164"/>
    <mergeCell ref="F164:G164"/>
    <mergeCell ref="A157:G157"/>
    <mergeCell ref="B161:C161"/>
    <mergeCell ref="D161:E161"/>
    <mergeCell ref="F161:G161"/>
    <mergeCell ref="B162:C162"/>
    <mergeCell ref="D162:E162"/>
    <mergeCell ref="F162:G162"/>
    <mergeCell ref="B154:C154"/>
    <mergeCell ref="D154:E154"/>
    <mergeCell ref="F154:G154"/>
    <mergeCell ref="B155:C155"/>
    <mergeCell ref="D155:E155"/>
    <mergeCell ref="F155:G155"/>
    <mergeCell ref="B149:C149"/>
    <mergeCell ref="D149:E149"/>
    <mergeCell ref="F149:G149"/>
    <mergeCell ref="B153:C153"/>
    <mergeCell ref="D153:E153"/>
    <mergeCell ref="F153:G153"/>
    <mergeCell ref="B147:C147"/>
    <mergeCell ref="D147:E147"/>
    <mergeCell ref="F147:G147"/>
    <mergeCell ref="B148:C148"/>
    <mergeCell ref="D148:E148"/>
    <mergeCell ref="F148:G148"/>
    <mergeCell ref="B141:C141"/>
    <mergeCell ref="D141:E141"/>
    <mergeCell ref="F141:G141"/>
    <mergeCell ref="B142:C142"/>
    <mergeCell ref="D142:E142"/>
    <mergeCell ref="F142:G143"/>
    <mergeCell ref="B143:C143"/>
    <mergeCell ref="D143:E143"/>
    <mergeCell ref="B135:C135"/>
    <mergeCell ref="D135:E135"/>
    <mergeCell ref="F135:G135"/>
    <mergeCell ref="A137:G137"/>
    <mergeCell ref="B140:C140"/>
    <mergeCell ref="D140:E140"/>
    <mergeCell ref="F140:G140"/>
    <mergeCell ref="A129:G129"/>
    <mergeCell ref="B133:C133"/>
    <mergeCell ref="D133:E133"/>
    <mergeCell ref="F133:G133"/>
    <mergeCell ref="B134:C134"/>
    <mergeCell ref="D134:E134"/>
    <mergeCell ref="F134:G134"/>
    <mergeCell ref="A121:G121"/>
    <mergeCell ref="C125:D125"/>
    <mergeCell ref="F125:G125"/>
    <mergeCell ref="C126:D126"/>
    <mergeCell ref="F126:G126"/>
    <mergeCell ref="C127:D127"/>
    <mergeCell ref="F127:G127"/>
    <mergeCell ref="B118:C118"/>
    <mergeCell ref="D118:E118"/>
    <mergeCell ref="F118:G118"/>
    <mergeCell ref="B119:C119"/>
    <mergeCell ref="D119:E119"/>
    <mergeCell ref="F119:G119"/>
    <mergeCell ref="A70:G70"/>
    <mergeCell ref="A78:G78"/>
    <mergeCell ref="A85:G85"/>
    <mergeCell ref="A97:G97"/>
    <mergeCell ref="A102:G102"/>
    <mergeCell ref="A116:A117"/>
    <mergeCell ref="B116:C117"/>
    <mergeCell ref="D116:E117"/>
    <mergeCell ref="F116:G117"/>
    <mergeCell ref="A31:G31"/>
    <mergeCell ref="A38:G38"/>
    <mergeCell ref="A42:G42"/>
    <mergeCell ref="A47:G47"/>
    <mergeCell ref="A56:G56"/>
    <mergeCell ref="A60:G60"/>
    <mergeCell ref="A13:G13"/>
    <mergeCell ref="A15:G15"/>
    <mergeCell ref="A19:A21"/>
    <mergeCell ref="B19:B21"/>
    <mergeCell ref="C19:F19"/>
    <mergeCell ref="G19:G21"/>
    <mergeCell ref="C20:C21"/>
    <mergeCell ref="D20:F20"/>
    <mergeCell ref="B10:C10"/>
    <mergeCell ref="D10:E10"/>
    <mergeCell ref="F10:G10"/>
    <mergeCell ref="B11:C11"/>
    <mergeCell ref="D11:E11"/>
    <mergeCell ref="F11:G11"/>
    <mergeCell ref="E1:G1"/>
    <mergeCell ref="A2:G2"/>
    <mergeCell ref="A4:G4"/>
    <mergeCell ref="A5:G5"/>
    <mergeCell ref="B9:C9"/>
    <mergeCell ref="D9:E9"/>
    <mergeCell ref="F9:G9"/>
  </mergeCells>
  <pageMargins left="1.3779527559055118" right="0.39370078740157483" top="0.98425196850393704" bottom="0.78740157480314965" header="0.31496062992125984" footer="0.31496062992125984"/>
  <pageSetup paperSize="9" scale="46" orientation="portrait" r:id="rId1"/>
  <rowBreaks count="4" manualBreakCount="4">
    <brk id="69" max="6" man="1"/>
    <brk id="141" max="6" man="1"/>
    <brk id="204" max="6" man="1"/>
    <brk id="275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14"/>
  <sheetViews>
    <sheetView view="pageBreakPreview" topLeftCell="A61" zoomScaleNormal="100" zoomScaleSheetLayoutView="100" workbookViewId="0">
      <selection activeCell="H63" sqref="H63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9" width="24.28515625" style="7" customWidth="1"/>
    <col min="10" max="10" width="8.85546875" style="7"/>
    <col min="11" max="16" width="12.28515625" style="7" bestFit="1" customWidth="1"/>
    <col min="17" max="16384" width="8.85546875" style="7"/>
  </cols>
  <sheetData>
    <row r="1" spans="1:9" ht="18.75" x14ac:dyDescent="0.25">
      <c r="A1" s="237" t="s">
        <v>265</v>
      </c>
      <c r="B1" s="237"/>
      <c r="C1" s="237"/>
      <c r="D1" s="237"/>
      <c r="E1" s="237"/>
      <c r="F1" s="237"/>
      <c r="G1" s="237"/>
      <c r="H1" s="237"/>
      <c r="I1" s="237"/>
    </row>
    <row r="2" spans="1:9" ht="18.75" x14ac:dyDescent="0.25">
      <c r="A2" s="237" t="s">
        <v>74</v>
      </c>
      <c r="B2" s="237"/>
      <c r="C2" s="237"/>
      <c r="D2" s="237"/>
      <c r="E2" s="237"/>
      <c r="F2" s="237"/>
      <c r="G2" s="237"/>
      <c r="H2" s="237"/>
      <c r="I2" s="237"/>
    </row>
    <row r="3" spans="1:9" x14ac:dyDescent="0.25">
      <c r="A3" s="30"/>
    </row>
    <row r="4" spans="1:9" ht="19.5" thickBot="1" x14ac:dyDescent="0.3">
      <c r="A4" s="6"/>
      <c r="F4" s="6"/>
      <c r="I4" s="6" t="s">
        <v>51</v>
      </c>
    </row>
    <row r="5" spans="1:9" ht="18.600000000000001" customHeight="1" x14ac:dyDescent="0.25">
      <c r="A5" s="229" t="s">
        <v>0</v>
      </c>
      <c r="B5" s="231" t="s">
        <v>45</v>
      </c>
      <c r="C5" s="233" t="s">
        <v>46</v>
      </c>
      <c r="D5" s="231" t="s">
        <v>1</v>
      </c>
      <c r="E5" s="231" t="s">
        <v>73</v>
      </c>
      <c r="F5" s="231"/>
      <c r="G5" s="231" t="s">
        <v>1</v>
      </c>
      <c r="H5" s="231" t="s">
        <v>73</v>
      </c>
      <c r="I5" s="231"/>
    </row>
    <row r="6" spans="1:9" ht="79.5" thickBot="1" x14ac:dyDescent="0.3">
      <c r="A6" s="230"/>
      <c r="B6" s="232"/>
      <c r="C6" s="234"/>
      <c r="D6" s="232"/>
      <c r="E6" s="117" t="s">
        <v>3</v>
      </c>
      <c r="F6" s="117" t="s">
        <v>4</v>
      </c>
      <c r="G6" s="232"/>
      <c r="H6" s="117" t="s">
        <v>3</v>
      </c>
      <c r="I6" s="38" t="s">
        <v>4</v>
      </c>
    </row>
    <row r="7" spans="1:9" ht="15.75" thickBot="1" x14ac:dyDescent="0.3">
      <c r="A7" s="43">
        <v>1</v>
      </c>
      <c r="B7" s="44">
        <v>2</v>
      </c>
      <c r="C7" s="44">
        <v>3</v>
      </c>
      <c r="D7" s="44">
        <v>4</v>
      </c>
      <c r="E7" s="44">
        <v>5</v>
      </c>
      <c r="F7" s="44">
        <v>6</v>
      </c>
      <c r="G7" s="44">
        <v>7</v>
      </c>
      <c r="H7" s="44">
        <v>8</v>
      </c>
      <c r="I7" s="45">
        <v>9</v>
      </c>
    </row>
    <row r="8" spans="1:9" ht="56.25" x14ac:dyDescent="0.25">
      <c r="A8" s="39" t="s">
        <v>47</v>
      </c>
      <c r="B8" s="40" t="s">
        <v>5</v>
      </c>
      <c r="C8" s="40" t="s">
        <v>5</v>
      </c>
      <c r="D8" s="41">
        <f>E8+F8</f>
        <v>0</v>
      </c>
      <c r="E8" s="41"/>
      <c r="F8" s="41"/>
      <c r="G8" s="41">
        <f>H8+I8</f>
        <v>0</v>
      </c>
      <c r="H8" s="41"/>
      <c r="I8" s="42"/>
    </row>
    <row r="9" spans="1:9" ht="56.25" x14ac:dyDescent="0.25">
      <c r="A9" s="115" t="s">
        <v>48</v>
      </c>
      <c r="B9" s="119" t="s">
        <v>5</v>
      </c>
      <c r="C9" s="119" t="s">
        <v>5</v>
      </c>
      <c r="D9" s="5">
        <f t="shared" ref="D9:D76" si="0">E9+F9</f>
        <v>0</v>
      </c>
      <c r="E9" s="5">
        <f>E8+E10-E25+E106</f>
        <v>0</v>
      </c>
      <c r="F9" s="5">
        <f>F8+F10-F25+F106</f>
        <v>0</v>
      </c>
      <c r="G9" s="5">
        <f t="shared" ref="G9:G10" si="1">H9+I9</f>
        <v>0</v>
      </c>
      <c r="H9" s="5">
        <f>H8+H10-H25+H106</f>
        <v>0</v>
      </c>
      <c r="I9" s="5">
        <f>I8+I10-I25+I106</f>
        <v>0</v>
      </c>
    </row>
    <row r="10" spans="1:9" ht="18.75" x14ac:dyDescent="0.25">
      <c r="A10" s="115" t="s">
        <v>49</v>
      </c>
      <c r="B10" s="119" t="s">
        <v>5</v>
      </c>
      <c r="C10" s="119" t="s">
        <v>5</v>
      </c>
      <c r="D10" s="2">
        <f t="shared" si="0"/>
        <v>0</v>
      </c>
      <c r="E10" s="2">
        <f>E12+E13+E14+E15+E16+E17+E21</f>
        <v>0</v>
      </c>
      <c r="F10" s="2">
        <f>F12+F13+F14+F15+F16+F17+F21+F101</f>
        <v>0</v>
      </c>
      <c r="G10" s="2">
        <f t="shared" si="1"/>
        <v>0</v>
      </c>
      <c r="H10" s="2">
        <f>H12+H13+H14+H15+H16+H17+H21</f>
        <v>0</v>
      </c>
      <c r="I10" s="4">
        <f>I12+I13+I14+I15+I16+I17+I21+I101</f>
        <v>0</v>
      </c>
    </row>
    <row r="11" spans="1:9" ht="18.75" x14ac:dyDescent="0.25">
      <c r="A11" s="115" t="s">
        <v>6</v>
      </c>
      <c r="B11" s="119"/>
      <c r="C11" s="119"/>
      <c r="D11" s="2"/>
      <c r="E11" s="2"/>
      <c r="F11" s="2"/>
      <c r="G11" s="2"/>
      <c r="H11" s="2"/>
      <c r="I11" s="4"/>
    </row>
    <row r="12" spans="1:9" ht="37.5" x14ac:dyDescent="0.25">
      <c r="A12" s="115" t="s">
        <v>66</v>
      </c>
      <c r="B12" s="119">
        <v>120</v>
      </c>
      <c r="C12" s="119" t="s">
        <v>5</v>
      </c>
      <c r="D12" s="2">
        <f t="shared" si="0"/>
        <v>0</v>
      </c>
      <c r="E12" s="2"/>
      <c r="F12" s="2"/>
      <c r="G12" s="2">
        <f t="shared" ref="G12:G17" si="2">H12+I12</f>
        <v>0</v>
      </c>
      <c r="H12" s="2"/>
      <c r="I12" s="4"/>
    </row>
    <row r="13" spans="1:9" ht="93.75" x14ac:dyDescent="0.25">
      <c r="A13" s="115" t="s">
        <v>65</v>
      </c>
      <c r="B13" s="119">
        <v>130</v>
      </c>
      <c r="C13" s="119" t="s">
        <v>5</v>
      </c>
      <c r="D13" s="2">
        <f t="shared" si="0"/>
        <v>0</v>
      </c>
      <c r="E13" s="2"/>
      <c r="F13" s="2"/>
      <c r="G13" s="2">
        <f t="shared" si="2"/>
        <v>0</v>
      </c>
      <c r="H13" s="2"/>
      <c r="I13" s="4"/>
    </row>
    <row r="14" spans="1:9" ht="93.75" x14ac:dyDescent="0.25">
      <c r="A14" s="115" t="s">
        <v>64</v>
      </c>
      <c r="B14" s="119">
        <v>140</v>
      </c>
      <c r="C14" s="119" t="s">
        <v>5</v>
      </c>
      <c r="D14" s="2">
        <f t="shared" si="0"/>
        <v>0</v>
      </c>
      <c r="E14" s="2"/>
      <c r="F14" s="2"/>
      <c r="G14" s="2">
        <f t="shared" si="2"/>
        <v>0</v>
      </c>
      <c r="H14" s="2"/>
      <c r="I14" s="4"/>
    </row>
    <row r="15" spans="1:9" ht="56.25" x14ac:dyDescent="0.25">
      <c r="A15" s="115" t="s">
        <v>63</v>
      </c>
      <c r="B15" s="119">
        <v>150</v>
      </c>
      <c r="C15" s="119" t="s">
        <v>5</v>
      </c>
      <c r="D15" s="2">
        <f t="shared" si="0"/>
        <v>0</v>
      </c>
      <c r="E15" s="2"/>
      <c r="F15" s="2"/>
      <c r="G15" s="2">
        <f t="shared" si="2"/>
        <v>0</v>
      </c>
      <c r="H15" s="2"/>
      <c r="I15" s="4"/>
    </row>
    <row r="16" spans="1:9" ht="18.75" x14ac:dyDescent="0.25">
      <c r="A16" s="115" t="s">
        <v>62</v>
      </c>
      <c r="B16" s="119">
        <v>180</v>
      </c>
      <c r="C16" s="119" t="s">
        <v>5</v>
      </c>
      <c r="D16" s="2">
        <f t="shared" si="0"/>
        <v>0</v>
      </c>
      <c r="E16" s="2"/>
      <c r="F16" s="2"/>
      <c r="G16" s="2">
        <f t="shared" si="2"/>
        <v>0</v>
      </c>
      <c r="H16" s="2"/>
      <c r="I16" s="4"/>
    </row>
    <row r="17" spans="1:9" ht="56.25" x14ac:dyDescent="0.25">
      <c r="A17" s="115" t="s">
        <v>61</v>
      </c>
      <c r="B17" s="119" t="s">
        <v>5</v>
      </c>
      <c r="C17" s="119" t="s">
        <v>5</v>
      </c>
      <c r="D17" s="2">
        <f t="shared" si="0"/>
        <v>0</v>
      </c>
      <c r="E17" s="2">
        <f t="shared" ref="E17" si="3">E19+E20</f>
        <v>0</v>
      </c>
      <c r="F17" s="2">
        <f t="shared" ref="F17" si="4">F19+F20</f>
        <v>0</v>
      </c>
      <c r="G17" s="2">
        <f t="shared" si="2"/>
        <v>0</v>
      </c>
      <c r="H17" s="2">
        <f t="shared" ref="H17" si="5">H19+H20</f>
        <v>0</v>
      </c>
      <c r="I17" s="4">
        <f t="shared" ref="I17" si="6">I19+I20</f>
        <v>0</v>
      </c>
    </row>
    <row r="18" spans="1:9" ht="18.75" x14ac:dyDescent="0.25">
      <c r="A18" s="115" t="s">
        <v>6</v>
      </c>
      <c r="B18" s="119"/>
      <c r="C18" s="119"/>
      <c r="D18" s="2"/>
      <c r="E18" s="2"/>
      <c r="F18" s="2"/>
      <c r="G18" s="2"/>
      <c r="H18" s="2"/>
      <c r="I18" s="4"/>
    </row>
    <row r="19" spans="1:9" ht="37.5" x14ac:dyDescent="0.25">
      <c r="A19" s="115" t="s">
        <v>71</v>
      </c>
      <c r="B19" s="119">
        <v>410</v>
      </c>
      <c r="C19" s="119" t="s">
        <v>5</v>
      </c>
      <c r="D19" s="2">
        <f t="shared" si="0"/>
        <v>0</v>
      </c>
      <c r="E19" s="2"/>
      <c r="F19" s="2"/>
      <c r="G19" s="2">
        <f t="shared" ref="G19:G21" si="7">H19+I19</f>
        <v>0</v>
      </c>
      <c r="H19" s="2"/>
      <c r="I19" s="4"/>
    </row>
    <row r="20" spans="1:9" ht="56.25" x14ac:dyDescent="0.25">
      <c r="A20" s="115" t="s">
        <v>72</v>
      </c>
      <c r="B20" s="119">
        <v>440</v>
      </c>
      <c r="C20" s="119" t="s">
        <v>5</v>
      </c>
      <c r="D20" s="2">
        <f t="shared" si="0"/>
        <v>0</v>
      </c>
      <c r="E20" s="2"/>
      <c r="F20" s="2"/>
      <c r="G20" s="2">
        <f t="shared" si="7"/>
        <v>0</v>
      </c>
      <c r="H20" s="2"/>
      <c r="I20" s="4"/>
    </row>
    <row r="21" spans="1:9" ht="37.5" x14ac:dyDescent="0.25">
      <c r="A21" s="115" t="s">
        <v>50</v>
      </c>
      <c r="B21" s="119" t="s">
        <v>5</v>
      </c>
      <c r="C21" s="119" t="s">
        <v>5</v>
      </c>
      <c r="D21" s="2">
        <f t="shared" si="0"/>
        <v>0</v>
      </c>
      <c r="E21" s="2">
        <f t="shared" ref="E21" si="8">E23+E24</f>
        <v>0</v>
      </c>
      <c r="F21" s="2">
        <f t="shared" ref="F21" si="9">F23+F24</f>
        <v>0</v>
      </c>
      <c r="G21" s="2">
        <f t="shared" si="7"/>
        <v>0</v>
      </c>
      <c r="H21" s="2">
        <f t="shared" ref="H21" si="10">H23+H24</f>
        <v>0</v>
      </c>
      <c r="I21" s="4">
        <f t="shared" ref="I21" si="11">I23+I24</f>
        <v>0</v>
      </c>
    </row>
    <row r="22" spans="1:9" ht="18.75" x14ac:dyDescent="0.25">
      <c r="A22" s="115" t="s">
        <v>9</v>
      </c>
      <c r="B22" s="119"/>
      <c r="C22" s="119"/>
      <c r="D22" s="2"/>
      <c r="E22" s="2"/>
      <c r="F22" s="2"/>
      <c r="G22" s="2"/>
      <c r="H22" s="2"/>
      <c r="I22" s="4"/>
    </row>
    <row r="23" spans="1:9" ht="131.25" x14ac:dyDescent="0.25">
      <c r="A23" s="115" t="s">
        <v>70</v>
      </c>
      <c r="B23" s="119">
        <v>510</v>
      </c>
      <c r="C23" s="119" t="s">
        <v>5</v>
      </c>
      <c r="D23" s="2">
        <f t="shared" si="0"/>
        <v>0</v>
      </c>
      <c r="E23" s="2"/>
      <c r="F23" s="2"/>
      <c r="G23" s="2">
        <f t="shared" ref="G23:G25" si="12">H23+I23</f>
        <v>0</v>
      </c>
      <c r="H23" s="2"/>
      <c r="I23" s="4"/>
    </row>
    <row r="24" spans="1:9" ht="150" x14ac:dyDescent="0.25">
      <c r="A24" s="115" t="s">
        <v>273</v>
      </c>
      <c r="B24" s="119">
        <v>510</v>
      </c>
      <c r="C24" s="119" t="s">
        <v>5</v>
      </c>
      <c r="D24" s="2">
        <f t="shared" si="0"/>
        <v>0</v>
      </c>
      <c r="E24" s="2"/>
      <c r="F24" s="2"/>
      <c r="G24" s="2">
        <f t="shared" si="12"/>
        <v>0</v>
      </c>
      <c r="H24" s="2"/>
      <c r="I24" s="4"/>
    </row>
    <row r="25" spans="1:9" ht="18.75" x14ac:dyDescent="0.25">
      <c r="A25" s="115" t="s">
        <v>7</v>
      </c>
      <c r="B25" s="119" t="s">
        <v>5</v>
      </c>
      <c r="C25" s="119">
        <v>900</v>
      </c>
      <c r="D25" s="5">
        <f t="shared" si="0"/>
        <v>0</v>
      </c>
      <c r="E25" s="2">
        <f>E27+E92</f>
        <v>0</v>
      </c>
      <c r="F25" s="2">
        <f>F27+F92</f>
        <v>0</v>
      </c>
      <c r="G25" s="5">
        <f t="shared" si="12"/>
        <v>0</v>
      </c>
      <c r="H25" s="2">
        <f>H27+H92</f>
        <v>0</v>
      </c>
      <c r="I25" s="2">
        <f>I27+I92</f>
        <v>0</v>
      </c>
    </row>
    <row r="26" spans="1:9" ht="18.75" x14ac:dyDescent="0.25">
      <c r="A26" s="115" t="s">
        <v>6</v>
      </c>
      <c r="B26" s="119"/>
      <c r="C26" s="119"/>
      <c r="D26" s="5"/>
      <c r="E26" s="2"/>
      <c r="F26" s="2"/>
      <c r="G26" s="5"/>
      <c r="H26" s="2"/>
      <c r="I26" s="2"/>
    </row>
    <row r="27" spans="1:9" ht="18.75" x14ac:dyDescent="0.25">
      <c r="A27" s="115" t="s">
        <v>8</v>
      </c>
      <c r="B27" s="119" t="s">
        <v>5</v>
      </c>
      <c r="C27" s="119">
        <v>200</v>
      </c>
      <c r="D27" s="5">
        <f t="shared" si="0"/>
        <v>0</v>
      </c>
      <c r="E27" s="2">
        <f>E29+E37+E62+E71</f>
        <v>0</v>
      </c>
      <c r="F27" s="2">
        <f>F29+F37+F62+F71</f>
        <v>0</v>
      </c>
      <c r="G27" s="5">
        <f t="shared" ref="G27" si="13">H27+I27</f>
        <v>0</v>
      </c>
      <c r="H27" s="2">
        <f>H29+H37+H62+H71</f>
        <v>0</v>
      </c>
      <c r="I27" s="2">
        <f>I29+I37+I62+I71</f>
        <v>0</v>
      </c>
    </row>
    <row r="28" spans="1:9" ht="14.45" customHeight="1" x14ac:dyDescent="0.25">
      <c r="A28" s="115" t="s">
        <v>9</v>
      </c>
      <c r="B28" s="119"/>
      <c r="C28" s="119"/>
      <c r="D28" s="5"/>
      <c r="E28" s="2"/>
      <c r="F28" s="2"/>
      <c r="G28" s="5"/>
      <c r="H28" s="2"/>
      <c r="I28" s="2"/>
    </row>
    <row r="29" spans="1:9" ht="75" x14ac:dyDescent="0.25">
      <c r="A29" s="115" t="s">
        <v>10</v>
      </c>
      <c r="B29" s="119" t="s">
        <v>5</v>
      </c>
      <c r="C29" s="119">
        <v>210</v>
      </c>
      <c r="D29" s="5">
        <f t="shared" si="0"/>
        <v>0</v>
      </c>
      <c r="E29" s="2">
        <f>E31+E32+E33+E34</f>
        <v>0</v>
      </c>
      <c r="F29" s="2">
        <f>F31+F32+F33+F34</f>
        <v>0</v>
      </c>
      <c r="G29" s="5">
        <f t="shared" ref="G29" si="14">H29+I29</f>
        <v>0</v>
      </c>
      <c r="H29" s="2">
        <f>H31+H32+H33+H34</f>
        <v>0</v>
      </c>
      <c r="I29" s="2">
        <f>I31+I32+I33+I34</f>
        <v>0</v>
      </c>
    </row>
    <row r="30" spans="1:9" ht="18.75" x14ac:dyDescent="0.25">
      <c r="A30" s="115" t="s">
        <v>9</v>
      </c>
      <c r="B30" s="119"/>
      <c r="C30" s="119"/>
      <c r="D30" s="5"/>
      <c r="E30" s="2"/>
      <c r="F30" s="2"/>
      <c r="G30" s="5"/>
      <c r="H30" s="2"/>
      <c r="I30" s="2"/>
    </row>
    <row r="31" spans="1:9" ht="18.75" x14ac:dyDescent="0.25">
      <c r="A31" s="115" t="s">
        <v>11</v>
      </c>
      <c r="B31" s="119">
        <v>111</v>
      </c>
      <c r="C31" s="119">
        <v>211</v>
      </c>
      <c r="D31" s="5">
        <f t="shared" si="0"/>
        <v>0</v>
      </c>
      <c r="E31" s="2"/>
      <c r="F31" s="2"/>
      <c r="G31" s="5">
        <f t="shared" ref="G31:G33" si="15">H31+I31</f>
        <v>0</v>
      </c>
      <c r="H31" s="2"/>
      <c r="I31" s="2"/>
    </row>
    <row r="32" spans="1:9" ht="75" x14ac:dyDescent="0.25">
      <c r="A32" s="115" t="s">
        <v>12</v>
      </c>
      <c r="B32" s="119">
        <v>112</v>
      </c>
      <c r="C32" s="119">
        <v>212</v>
      </c>
      <c r="D32" s="5">
        <f t="shared" si="0"/>
        <v>0</v>
      </c>
      <c r="E32" s="2"/>
      <c r="F32" s="2"/>
      <c r="G32" s="5">
        <f t="shared" si="15"/>
        <v>0</v>
      </c>
      <c r="H32" s="2"/>
      <c r="I32" s="2"/>
    </row>
    <row r="33" spans="1:9" ht="56.25" x14ac:dyDescent="0.25">
      <c r="A33" s="115" t="s">
        <v>13</v>
      </c>
      <c r="B33" s="119">
        <v>119</v>
      </c>
      <c r="C33" s="119">
        <v>213</v>
      </c>
      <c r="D33" s="5">
        <f t="shared" si="0"/>
        <v>0</v>
      </c>
      <c r="E33" s="2"/>
      <c r="F33" s="2"/>
      <c r="G33" s="5">
        <f t="shared" si="15"/>
        <v>0</v>
      </c>
      <c r="H33" s="2"/>
      <c r="I33" s="2"/>
    </row>
    <row r="34" spans="1:9" ht="93.75" x14ac:dyDescent="0.25">
      <c r="A34" s="115" t="s">
        <v>201</v>
      </c>
      <c r="B34" s="119" t="s">
        <v>5</v>
      </c>
      <c r="C34" s="119">
        <v>214</v>
      </c>
      <c r="D34" s="5">
        <f>E34+F34</f>
        <v>0</v>
      </c>
      <c r="E34" s="2">
        <f>E35+E36</f>
        <v>0</v>
      </c>
      <c r="F34" s="2">
        <f>F35+F36</f>
        <v>0</v>
      </c>
      <c r="G34" s="5">
        <f>H34+I34</f>
        <v>0</v>
      </c>
      <c r="H34" s="2">
        <f>H35+H36</f>
        <v>0</v>
      </c>
      <c r="I34" s="2">
        <f>I35+I36</f>
        <v>0</v>
      </c>
    </row>
    <row r="35" spans="1:9" ht="18.75" x14ac:dyDescent="0.25">
      <c r="A35" s="235" t="s">
        <v>6</v>
      </c>
      <c r="B35" s="119">
        <v>112</v>
      </c>
      <c r="C35" s="119">
        <v>214</v>
      </c>
      <c r="D35" s="5">
        <f t="shared" si="0"/>
        <v>0</v>
      </c>
      <c r="E35" s="2"/>
      <c r="F35" s="2"/>
      <c r="G35" s="5">
        <f t="shared" ref="G35" si="16">H35+I35</f>
        <v>0</v>
      </c>
      <c r="H35" s="2"/>
      <c r="I35" s="2"/>
    </row>
    <row r="36" spans="1:9" ht="14.45" customHeight="1" x14ac:dyDescent="0.25">
      <c r="A36" s="236"/>
      <c r="B36" s="119">
        <v>244</v>
      </c>
      <c r="C36" s="119">
        <v>214</v>
      </c>
      <c r="D36" s="5">
        <v>0</v>
      </c>
      <c r="E36" s="2"/>
      <c r="F36" s="2"/>
      <c r="G36" s="5">
        <v>0</v>
      </c>
      <c r="H36" s="2"/>
      <c r="I36" s="2"/>
    </row>
    <row r="37" spans="1:9" ht="37.5" x14ac:dyDescent="0.25">
      <c r="A37" s="115" t="s">
        <v>14</v>
      </c>
      <c r="B37" s="119" t="s">
        <v>5</v>
      </c>
      <c r="C37" s="119">
        <v>220</v>
      </c>
      <c r="D37" s="5">
        <f>E37+F37</f>
        <v>0</v>
      </c>
      <c r="E37" s="2">
        <f>E39+E40+E43+E50+E51+E54+E60+E61</f>
        <v>0</v>
      </c>
      <c r="F37" s="2">
        <f>F39+F40+F43+F50+F51+F54+F60+F61</f>
        <v>0</v>
      </c>
      <c r="G37" s="5">
        <f t="shared" ref="G37" si="17">H37+I37</f>
        <v>0</v>
      </c>
      <c r="H37" s="2">
        <f>H39+H40+H43+H50+H51+H54+H60+H61</f>
        <v>0</v>
      </c>
      <c r="I37" s="2">
        <f>I39+I40+I43+I50+I51+I54+I60+I61</f>
        <v>0</v>
      </c>
    </row>
    <row r="38" spans="1:9" ht="18.75" x14ac:dyDescent="0.25">
      <c r="A38" s="115" t="s">
        <v>9</v>
      </c>
      <c r="B38" s="119"/>
      <c r="C38" s="119"/>
      <c r="D38" s="5"/>
      <c r="E38" s="2"/>
      <c r="F38" s="2"/>
      <c r="G38" s="5"/>
      <c r="H38" s="2"/>
      <c r="I38" s="2"/>
    </row>
    <row r="39" spans="1:9" ht="18.75" x14ac:dyDescent="0.25">
      <c r="A39" s="115" t="s">
        <v>15</v>
      </c>
      <c r="B39" s="119">
        <v>244</v>
      </c>
      <c r="C39" s="119">
        <v>221</v>
      </c>
      <c r="D39" s="5">
        <f t="shared" si="0"/>
        <v>0</v>
      </c>
      <c r="E39" s="2"/>
      <c r="F39" s="2"/>
      <c r="G39" s="5">
        <f t="shared" ref="G39:G43" si="18">H39+I39</f>
        <v>0</v>
      </c>
      <c r="H39" s="2"/>
      <c r="I39" s="2"/>
    </row>
    <row r="40" spans="1:9" ht="37.5" x14ac:dyDescent="0.25">
      <c r="A40" s="115" t="s">
        <v>16</v>
      </c>
      <c r="B40" s="119" t="s">
        <v>5</v>
      </c>
      <c r="C40" s="119">
        <v>222</v>
      </c>
      <c r="D40" s="5">
        <f t="shared" si="0"/>
        <v>0</v>
      </c>
      <c r="E40" s="2">
        <f>E41+E42</f>
        <v>0</v>
      </c>
      <c r="F40" s="2">
        <f>F41+F42</f>
        <v>0</v>
      </c>
      <c r="G40" s="5">
        <f t="shared" si="18"/>
        <v>0</v>
      </c>
      <c r="H40" s="2">
        <f>H41+H42</f>
        <v>0</v>
      </c>
      <c r="I40" s="2">
        <f>I41+I42</f>
        <v>0</v>
      </c>
    </row>
    <row r="41" spans="1:9" ht="22.9" customHeight="1" x14ac:dyDescent="0.25">
      <c r="A41" s="221" t="s">
        <v>6</v>
      </c>
      <c r="B41" s="119">
        <v>112</v>
      </c>
      <c r="C41" s="119">
        <v>222</v>
      </c>
      <c r="D41" s="5">
        <f t="shared" si="0"/>
        <v>0</v>
      </c>
      <c r="E41" s="2"/>
      <c r="F41" s="2"/>
      <c r="G41" s="5">
        <f t="shared" si="18"/>
        <v>0</v>
      </c>
      <c r="H41" s="2"/>
      <c r="I41" s="2"/>
    </row>
    <row r="42" spans="1:9" ht="18.75" x14ac:dyDescent="0.25">
      <c r="A42" s="221"/>
      <c r="B42" s="119">
        <v>244</v>
      </c>
      <c r="C42" s="119">
        <v>222</v>
      </c>
      <c r="D42" s="5">
        <f t="shared" si="0"/>
        <v>0</v>
      </c>
      <c r="E42" s="2"/>
      <c r="F42" s="2"/>
      <c r="G42" s="5">
        <f t="shared" si="18"/>
        <v>0</v>
      </c>
      <c r="H42" s="2"/>
      <c r="I42" s="2"/>
    </row>
    <row r="43" spans="1:9" ht="37.5" x14ac:dyDescent="0.25">
      <c r="A43" s="115" t="s">
        <v>17</v>
      </c>
      <c r="B43" s="119" t="s">
        <v>5</v>
      </c>
      <c r="C43" s="119">
        <v>223</v>
      </c>
      <c r="D43" s="5">
        <f t="shared" si="0"/>
        <v>0</v>
      </c>
      <c r="E43" s="2">
        <f t="shared" ref="E43" si="19">E45+E46+E47+E48+E49</f>
        <v>0</v>
      </c>
      <c r="F43" s="2">
        <f t="shared" ref="F43" si="20">F45+F46+F47+F48+F49</f>
        <v>0</v>
      </c>
      <c r="G43" s="5">
        <f t="shared" si="18"/>
        <v>0</v>
      </c>
      <c r="H43" s="2">
        <f t="shared" ref="H43" si="21">H45+H46+H47+H48+H49</f>
        <v>0</v>
      </c>
      <c r="I43" s="2">
        <f t="shared" ref="I43" si="22">I45+I46+I47+I48+I49</f>
        <v>0</v>
      </c>
    </row>
    <row r="44" spans="1:9" ht="18.75" x14ac:dyDescent="0.25">
      <c r="A44" s="115" t="s">
        <v>6</v>
      </c>
      <c r="B44" s="119"/>
      <c r="C44" s="119"/>
      <c r="D44" s="5"/>
      <c r="E44" s="2"/>
      <c r="F44" s="2"/>
      <c r="G44" s="5"/>
      <c r="H44" s="2"/>
      <c r="I44" s="2"/>
    </row>
    <row r="45" spans="1:9" ht="56.25" x14ac:dyDescent="0.25">
      <c r="A45" s="115" t="s">
        <v>18</v>
      </c>
      <c r="B45" s="119">
        <v>247</v>
      </c>
      <c r="C45" s="119">
        <v>223</v>
      </c>
      <c r="D45" s="5">
        <f t="shared" si="0"/>
        <v>0</v>
      </c>
      <c r="E45" s="2"/>
      <c r="F45" s="2"/>
      <c r="G45" s="5">
        <f t="shared" ref="G45:G50" si="23">H45+I45</f>
        <v>0</v>
      </c>
      <c r="H45" s="2"/>
      <c r="I45" s="2"/>
    </row>
    <row r="46" spans="1:9" ht="37.5" x14ac:dyDescent="0.25">
      <c r="A46" s="115" t="s">
        <v>19</v>
      </c>
      <c r="B46" s="119">
        <v>247</v>
      </c>
      <c r="C46" s="119">
        <v>223</v>
      </c>
      <c r="D46" s="5">
        <f t="shared" si="0"/>
        <v>0</v>
      </c>
      <c r="E46" s="2"/>
      <c r="F46" s="2"/>
      <c r="G46" s="5">
        <f t="shared" si="23"/>
        <v>0</v>
      </c>
      <c r="H46" s="2"/>
      <c r="I46" s="2"/>
    </row>
    <row r="47" spans="1:9" ht="138.6" customHeight="1" x14ac:dyDescent="0.25">
      <c r="A47" s="115" t="s">
        <v>20</v>
      </c>
      <c r="B47" s="119">
        <v>247</v>
      </c>
      <c r="C47" s="119">
        <v>223</v>
      </c>
      <c r="D47" s="5">
        <f t="shared" si="0"/>
        <v>0</v>
      </c>
      <c r="E47" s="2"/>
      <c r="F47" s="2"/>
      <c r="G47" s="5">
        <f t="shared" si="23"/>
        <v>0</v>
      </c>
      <c r="H47" s="2"/>
      <c r="I47" s="2"/>
    </row>
    <row r="48" spans="1:9" ht="75" x14ac:dyDescent="0.25">
      <c r="A48" s="115" t="s">
        <v>21</v>
      </c>
      <c r="B48" s="119">
        <v>244</v>
      </c>
      <c r="C48" s="119">
        <v>223</v>
      </c>
      <c r="D48" s="5">
        <f t="shared" si="0"/>
        <v>0</v>
      </c>
      <c r="E48" s="2"/>
      <c r="F48" s="2"/>
      <c r="G48" s="5">
        <f t="shared" si="23"/>
        <v>0</v>
      </c>
      <c r="H48" s="2"/>
      <c r="I48" s="2"/>
    </row>
    <row r="49" spans="1:9" ht="56.25" x14ac:dyDescent="0.25">
      <c r="A49" s="115" t="s">
        <v>22</v>
      </c>
      <c r="B49" s="119">
        <v>244</v>
      </c>
      <c r="C49" s="119">
        <v>223</v>
      </c>
      <c r="D49" s="5">
        <f t="shared" si="0"/>
        <v>0</v>
      </c>
      <c r="E49" s="2"/>
      <c r="F49" s="2"/>
      <c r="G49" s="5">
        <f t="shared" si="23"/>
        <v>0</v>
      </c>
      <c r="H49" s="2"/>
      <c r="I49" s="2"/>
    </row>
    <row r="50" spans="1:9" ht="168.75" x14ac:dyDescent="0.25">
      <c r="A50" s="115" t="s">
        <v>23</v>
      </c>
      <c r="B50" s="119">
        <v>244</v>
      </c>
      <c r="C50" s="119">
        <v>224</v>
      </c>
      <c r="D50" s="5">
        <f t="shared" si="0"/>
        <v>0</v>
      </c>
      <c r="E50" s="2"/>
      <c r="F50" s="2"/>
      <c r="G50" s="5">
        <f t="shared" si="23"/>
        <v>0</v>
      </c>
      <c r="H50" s="2"/>
      <c r="I50" s="2"/>
    </row>
    <row r="51" spans="1:9" ht="56.25" x14ac:dyDescent="0.25">
      <c r="A51" s="115" t="s">
        <v>24</v>
      </c>
      <c r="B51" s="119" t="s">
        <v>5</v>
      </c>
      <c r="C51" s="119">
        <v>225</v>
      </c>
      <c r="D51" s="2">
        <f t="shared" ref="D51:G51" si="24">D52+D53</f>
        <v>0</v>
      </c>
      <c r="E51" s="2">
        <f>E52+E53</f>
        <v>0</v>
      </c>
      <c r="F51" s="2">
        <f t="shared" si="24"/>
        <v>0</v>
      </c>
      <c r="G51" s="2">
        <f t="shared" si="24"/>
        <v>0</v>
      </c>
      <c r="H51" s="2">
        <f>H52+H53</f>
        <v>0</v>
      </c>
      <c r="I51" s="2">
        <f t="shared" ref="I51" si="25">I52+I53</f>
        <v>0</v>
      </c>
    </row>
    <row r="52" spans="1:9" ht="18.75" x14ac:dyDescent="0.25">
      <c r="A52" s="221" t="s">
        <v>6</v>
      </c>
      <c r="B52" s="119">
        <v>243</v>
      </c>
      <c r="C52" s="119">
        <v>225</v>
      </c>
      <c r="D52" s="5">
        <f t="shared" si="0"/>
        <v>0</v>
      </c>
      <c r="E52" s="2"/>
      <c r="F52" s="2"/>
      <c r="G52" s="5">
        <f t="shared" ref="G52:G92" si="26">H52+I52</f>
        <v>0</v>
      </c>
      <c r="H52" s="2"/>
      <c r="I52" s="2"/>
    </row>
    <row r="53" spans="1:9" ht="18.75" x14ac:dyDescent="0.25">
      <c r="A53" s="221"/>
      <c r="B53" s="119">
        <v>244</v>
      </c>
      <c r="C53" s="119">
        <v>225</v>
      </c>
      <c r="D53" s="5">
        <f t="shared" si="0"/>
        <v>0</v>
      </c>
      <c r="E53" s="2"/>
      <c r="F53" s="2"/>
      <c r="G53" s="5">
        <f t="shared" si="26"/>
        <v>0</v>
      </c>
      <c r="H53" s="2"/>
      <c r="I53" s="2"/>
    </row>
    <row r="54" spans="1:9" ht="37.5" x14ac:dyDescent="0.25">
      <c r="A54" s="115" t="s">
        <v>58</v>
      </c>
      <c r="B54" s="119" t="s">
        <v>5</v>
      </c>
      <c r="C54" s="119">
        <v>226</v>
      </c>
      <c r="D54" s="5">
        <f t="shared" si="0"/>
        <v>0</v>
      </c>
      <c r="E54" s="2">
        <f>E55+E56+E58+E59+E57</f>
        <v>0</v>
      </c>
      <c r="F54" s="2">
        <f>F55+F56+F58+F59+F57</f>
        <v>0</v>
      </c>
      <c r="G54" s="5">
        <f t="shared" si="26"/>
        <v>0</v>
      </c>
      <c r="H54" s="2">
        <f>H55+H56+H58+H59+H57</f>
        <v>0</v>
      </c>
      <c r="I54" s="2">
        <f>I55+I56+I58+I59+I57</f>
        <v>0</v>
      </c>
    </row>
    <row r="55" spans="1:9" ht="18.75" x14ac:dyDescent="0.25">
      <c r="A55" s="221" t="s">
        <v>6</v>
      </c>
      <c r="B55" s="119">
        <v>112</v>
      </c>
      <c r="C55" s="119">
        <v>226</v>
      </c>
      <c r="D55" s="5">
        <f t="shared" si="0"/>
        <v>0</v>
      </c>
      <c r="E55" s="2"/>
      <c r="F55" s="2"/>
      <c r="G55" s="5">
        <f t="shared" si="26"/>
        <v>0</v>
      </c>
      <c r="H55" s="2"/>
      <c r="I55" s="2"/>
    </row>
    <row r="56" spans="1:9" ht="18.75" x14ac:dyDescent="0.25">
      <c r="A56" s="221"/>
      <c r="B56" s="119">
        <v>113</v>
      </c>
      <c r="C56" s="119">
        <v>226</v>
      </c>
      <c r="D56" s="5">
        <f t="shared" si="0"/>
        <v>0</v>
      </c>
      <c r="E56" s="2"/>
      <c r="F56" s="2"/>
      <c r="G56" s="5">
        <f t="shared" si="26"/>
        <v>0</v>
      </c>
      <c r="H56" s="2"/>
      <c r="I56" s="2"/>
    </row>
    <row r="57" spans="1:9" ht="18.75" x14ac:dyDescent="0.25">
      <c r="A57" s="221"/>
      <c r="B57" s="119">
        <v>119</v>
      </c>
      <c r="C57" s="119">
        <v>226</v>
      </c>
      <c r="D57" s="5">
        <f t="shared" si="0"/>
        <v>0</v>
      </c>
      <c r="E57" s="2"/>
      <c r="F57" s="2"/>
      <c r="G57" s="5">
        <f t="shared" si="26"/>
        <v>0</v>
      </c>
      <c r="H57" s="2"/>
      <c r="I57" s="2"/>
    </row>
    <row r="58" spans="1:9" ht="18.75" x14ac:dyDescent="0.25">
      <c r="A58" s="221"/>
      <c r="B58" s="119">
        <v>243</v>
      </c>
      <c r="C58" s="119">
        <v>226</v>
      </c>
      <c r="D58" s="5">
        <f t="shared" si="0"/>
        <v>0</v>
      </c>
      <c r="E58" s="2"/>
      <c r="F58" s="2"/>
      <c r="G58" s="5">
        <f t="shared" si="26"/>
        <v>0</v>
      </c>
      <c r="H58" s="2"/>
      <c r="I58" s="2"/>
    </row>
    <row r="59" spans="1:9" ht="18.75" x14ac:dyDescent="0.25">
      <c r="A59" s="221"/>
      <c r="B59" s="119">
        <v>244</v>
      </c>
      <c r="C59" s="119">
        <v>226</v>
      </c>
      <c r="D59" s="5">
        <f t="shared" si="0"/>
        <v>0</v>
      </c>
      <c r="E59" s="2"/>
      <c r="F59" s="2"/>
      <c r="G59" s="5">
        <f t="shared" si="26"/>
        <v>0</v>
      </c>
      <c r="H59" s="2"/>
      <c r="I59" s="2"/>
    </row>
    <row r="60" spans="1:9" ht="18.75" x14ac:dyDescent="0.25">
      <c r="A60" s="115" t="s">
        <v>25</v>
      </c>
      <c r="B60" s="119">
        <v>244</v>
      </c>
      <c r="C60" s="119">
        <v>227</v>
      </c>
      <c r="D60" s="5">
        <f>E60+F60</f>
        <v>0</v>
      </c>
      <c r="E60" s="2"/>
      <c r="F60" s="2"/>
      <c r="G60" s="5">
        <f t="shared" si="26"/>
        <v>0</v>
      </c>
      <c r="H60" s="2"/>
      <c r="I60" s="2"/>
    </row>
    <row r="61" spans="1:9" ht="56.25" x14ac:dyDescent="0.25">
      <c r="A61" s="170" t="s">
        <v>345</v>
      </c>
      <c r="B61" s="171">
        <v>244</v>
      </c>
      <c r="C61" s="171">
        <v>228</v>
      </c>
      <c r="D61" s="5">
        <f t="shared" ref="D61" si="27">E61+F61</f>
        <v>0</v>
      </c>
      <c r="E61" s="2"/>
      <c r="F61" s="2"/>
      <c r="G61" s="5">
        <f t="shared" ref="G61" si="28">H61+I61</f>
        <v>0</v>
      </c>
      <c r="H61" s="2"/>
      <c r="I61" s="2"/>
    </row>
    <row r="62" spans="1:9" ht="37.5" x14ac:dyDescent="0.25">
      <c r="A62" s="115" t="s">
        <v>26</v>
      </c>
      <c r="B62" s="119" t="s">
        <v>5</v>
      </c>
      <c r="C62" s="119">
        <v>260</v>
      </c>
      <c r="D62" s="5">
        <f>E62+F62</f>
        <v>0</v>
      </c>
      <c r="E62" s="2">
        <f>E63+E64+E65+E66+E70</f>
        <v>0</v>
      </c>
      <c r="F62" s="2">
        <f>F64+F65+F66+F70</f>
        <v>0</v>
      </c>
      <c r="G62" s="5">
        <f t="shared" si="26"/>
        <v>0</v>
      </c>
      <c r="H62" s="2">
        <f>H63+H64+H65+H66+H70</f>
        <v>0</v>
      </c>
      <c r="I62" s="2">
        <f>I64+I65+I66+I70</f>
        <v>0</v>
      </c>
    </row>
    <row r="63" spans="1:9" ht="93.75" x14ac:dyDescent="0.25">
      <c r="A63" s="219" t="s">
        <v>501</v>
      </c>
      <c r="B63" s="220">
        <v>323</v>
      </c>
      <c r="C63" s="220">
        <v>263</v>
      </c>
      <c r="D63" s="5"/>
      <c r="E63" s="2"/>
      <c r="F63" s="2"/>
      <c r="G63" s="5"/>
      <c r="H63" s="2"/>
      <c r="I63" s="2"/>
    </row>
    <row r="64" spans="1:9" ht="112.5" x14ac:dyDescent="0.25">
      <c r="A64" s="115" t="s">
        <v>27</v>
      </c>
      <c r="B64" s="119">
        <v>321</v>
      </c>
      <c r="C64" s="119">
        <v>264</v>
      </c>
      <c r="D64" s="5">
        <f>E64+F64</f>
        <v>0</v>
      </c>
      <c r="E64" s="2"/>
      <c r="F64" s="2"/>
      <c r="G64" s="5">
        <f t="shared" si="26"/>
        <v>0</v>
      </c>
      <c r="H64" s="2"/>
      <c r="I64" s="2"/>
    </row>
    <row r="65" spans="1:9" ht="168.75" x14ac:dyDescent="0.25">
      <c r="A65" s="193" t="s">
        <v>441</v>
      </c>
      <c r="B65" s="194">
        <v>119</v>
      </c>
      <c r="C65" s="194">
        <v>265</v>
      </c>
      <c r="D65" s="5">
        <f>E65+F65</f>
        <v>0</v>
      </c>
      <c r="E65" s="2"/>
      <c r="F65" s="2"/>
      <c r="G65" s="5">
        <f t="shared" si="26"/>
        <v>0</v>
      </c>
      <c r="H65" s="2"/>
      <c r="I65" s="2"/>
    </row>
    <row r="66" spans="1:9" ht="93.75" x14ac:dyDescent="0.25">
      <c r="A66" s="115" t="s">
        <v>28</v>
      </c>
      <c r="B66" s="119" t="s">
        <v>5</v>
      </c>
      <c r="C66" s="119">
        <v>266</v>
      </c>
      <c r="D66" s="5">
        <f t="shared" si="0"/>
        <v>0</v>
      </c>
      <c r="E66" s="2">
        <f t="shared" ref="E66" si="29">E67+E68</f>
        <v>0</v>
      </c>
      <c r="F66" s="2">
        <f t="shared" ref="F66" si="30">F67+F68</f>
        <v>0</v>
      </c>
      <c r="G66" s="5">
        <f t="shared" si="26"/>
        <v>0</v>
      </c>
      <c r="H66" s="2">
        <f t="shared" ref="H66" si="31">H67+H68</f>
        <v>0</v>
      </c>
      <c r="I66" s="2">
        <f t="shared" ref="I66" si="32">I67+I68</f>
        <v>0</v>
      </c>
    </row>
    <row r="67" spans="1:9" ht="18.75" x14ac:dyDescent="0.25">
      <c r="A67" s="221" t="s">
        <v>6</v>
      </c>
      <c r="B67" s="119">
        <v>111</v>
      </c>
      <c r="C67" s="119">
        <v>266</v>
      </c>
      <c r="D67" s="5">
        <f t="shared" si="0"/>
        <v>0</v>
      </c>
      <c r="E67" s="2"/>
      <c r="F67" s="2"/>
      <c r="G67" s="5">
        <f t="shared" si="26"/>
        <v>0</v>
      </c>
      <c r="H67" s="2"/>
      <c r="I67" s="2"/>
    </row>
    <row r="68" spans="1:9" ht="18.75" x14ac:dyDescent="0.25">
      <c r="A68" s="221"/>
      <c r="B68" s="119">
        <v>112</v>
      </c>
      <c r="C68" s="119">
        <v>266</v>
      </c>
      <c r="D68" s="5">
        <f t="shared" si="0"/>
        <v>0</v>
      </c>
      <c r="E68" s="2"/>
      <c r="F68" s="2"/>
      <c r="G68" s="5">
        <f t="shared" si="26"/>
        <v>0</v>
      </c>
      <c r="H68" s="2"/>
      <c r="I68" s="2"/>
    </row>
    <row r="69" spans="1:9" ht="18.75" x14ac:dyDescent="0.25">
      <c r="A69" s="219"/>
      <c r="B69" s="220">
        <v>119</v>
      </c>
      <c r="C69" s="220">
        <v>266</v>
      </c>
      <c r="D69" s="5">
        <f t="shared" ref="D69" si="33">E69+F69</f>
        <v>0</v>
      </c>
      <c r="E69" s="2"/>
      <c r="F69" s="2"/>
      <c r="G69" s="5">
        <f t="shared" ref="G69" si="34">H69+I69</f>
        <v>0</v>
      </c>
      <c r="H69" s="2"/>
      <c r="I69" s="2"/>
    </row>
    <row r="70" spans="1:9" ht="75" x14ac:dyDescent="0.25">
      <c r="A70" s="115" t="s">
        <v>29</v>
      </c>
      <c r="B70" s="119">
        <v>112</v>
      </c>
      <c r="C70" s="119">
        <v>267</v>
      </c>
      <c r="D70" s="5">
        <f t="shared" si="0"/>
        <v>0</v>
      </c>
      <c r="E70" s="2"/>
      <c r="F70" s="2"/>
      <c r="G70" s="5">
        <f t="shared" si="26"/>
        <v>0</v>
      </c>
      <c r="H70" s="2"/>
      <c r="I70" s="2"/>
    </row>
    <row r="71" spans="1:9" ht="18.75" x14ac:dyDescent="0.25">
      <c r="A71" s="115" t="s">
        <v>30</v>
      </c>
      <c r="B71" s="119" t="s">
        <v>5</v>
      </c>
      <c r="C71" s="119">
        <v>290</v>
      </c>
      <c r="D71" s="5">
        <f t="shared" si="0"/>
        <v>0</v>
      </c>
      <c r="E71" s="2">
        <f>E73+E77+E78+E79+E80+E87</f>
        <v>0</v>
      </c>
      <c r="F71" s="2">
        <f>F73+F77+F78+F79+F80+F87</f>
        <v>0</v>
      </c>
      <c r="G71" s="5">
        <f t="shared" si="26"/>
        <v>0</v>
      </c>
      <c r="H71" s="2">
        <f>H73+H77+H78+H79+H80+H87</f>
        <v>0</v>
      </c>
      <c r="I71" s="2">
        <f>I73+I77+I78+I79+I80+I87</f>
        <v>0</v>
      </c>
    </row>
    <row r="72" spans="1:9" ht="18.75" x14ac:dyDescent="0.25">
      <c r="A72" s="115" t="s">
        <v>9</v>
      </c>
      <c r="B72" s="119"/>
      <c r="C72" s="119"/>
      <c r="D72" s="5">
        <f t="shared" si="0"/>
        <v>0</v>
      </c>
      <c r="E72" s="2"/>
      <c r="F72" s="2"/>
      <c r="G72" s="5">
        <f t="shared" si="26"/>
        <v>0</v>
      </c>
      <c r="H72" s="2"/>
      <c r="I72" s="2"/>
    </row>
    <row r="73" spans="1:9" ht="37.5" x14ac:dyDescent="0.25">
      <c r="A73" s="115" t="s">
        <v>31</v>
      </c>
      <c r="B73" s="119" t="s">
        <v>5</v>
      </c>
      <c r="C73" s="119">
        <v>291</v>
      </c>
      <c r="D73" s="5">
        <f t="shared" si="0"/>
        <v>0</v>
      </c>
      <c r="E73" s="2">
        <f t="shared" ref="E73" si="35">E74+E75+E76</f>
        <v>0</v>
      </c>
      <c r="F73" s="2">
        <f t="shared" ref="F73" si="36">F74+F75+F76</f>
        <v>0</v>
      </c>
      <c r="G73" s="5">
        <f t="shared" si="26"/>
        <v>0</v>
      </c>
      <c r="H73" s="2">
        <f t="shared" ref="H73" si="37">H74+H75+H76</f>
        <v>0</v>
      </c>
      <c r="I73" s="2">
        <f t="shared" ref="I73" si="38">I74+I75+I76</f>
        <v>0</v>
      </c>
    </row>
    <row r="74" spans="1:9" ht="18.75" x14ac:dyDescent="0.25">
      <c r="A74" s="221" t="s">
        <v>6</v>
      </c>
      <c r="B74" s="119">
        <v>851</v>
      </c>
      <c r="C74" s="119">
        <v>291</v>
      </c>
      <c r="D74" s="5">
        <f t="shared" si="0"/>
        <v>0</v>
      </c>
      <c r="E74" s="2"/>
      <c r="F74" s="2"/>
      <c r="G74" s="5">
        <f t="shared" si="26"/>
        <v>0</v>
      </c>
      <c r="H74" s="2"/>
      <c r="I74" s="2"/>
    </row>
    <row r="75" spans="1:9" ht="18.75" x14ac:dyDescent="0.25">
      <c r="A75" s="221"/>
      <c r="B75" s="119">
        <v>852</v>
      </c>
      <c r="C75" s="119">
        <v>291</v>
      </c>
      <c r="D75" s="5">
        <f t="shared" si="0"/>
        <v>0</v>
      </c>
      <c r="E75" s="2"/>
      <c r="F75" s="2"/>
      <c r="G75" s="5">
        <f t="shared" si="26"/>
        <v>0</v>
      </c>
      <c r="H75" s="2"/>
      <c r="I75" s="2"/>
    </row>
    <row r="76" spans="1:9" ht="18.75" x14ac:dyDescent="0.25">
      <c r="A76" s="221"/>
      <c r="B76" s="119">
        <v>853</v>
      </c>
      <c r="C76" s="119">
        <v>291</v>
      </c>
      <c r="D76" s="5">
        <f t="shared" si="0"/>
        <v>0</v>
      </c>
      <c r="E76" s="2"/>
      <c r="F76" s="2"/>
      <c r="G76" s="5">
        <f t="shared" si="26"/>
        <v>0</v>
      </c>
      <c r="H76" s="2"/>
      <c r="I76" s="2"/>
    </row>
    <row r="77" spans="1:9" ht="112.5" x14ac:dyDescent="0.25">
      <c r="A77" s="115" t="s">
        <v>32</v>
      </c>
      <c r="B77" s="119">
        <v>853</v>
      </c>
      <c r="C77" s="119">
        <v>292</v>
      </c>
      <c r="D77" s="5">
        <f t="shared" ref="D77:D110" si="39">E77+F77</f>
        <v>0</v>
      </c>
      <c r="E77" s="2"/>
      <c r="F77" s="2">
        <v>0</v>
      </c>
      <c r="G77" s="5">
        <f t="shared" si="26"/>
        <v>0</v>
      </c>
      <c r="H77" s="2"/>
      <c r="I77" s="2">
        <v>0</v>
      </c>
    </row>
    <row r="78" spans="1:9" ht="131.25" x14ac:dyDescent="0.25">
      <c r="A78" s="115" t="s">
        <v>33</v>
      </c>
      <c r="B78" s="119">
        <v>853</v>
      </c>
      <c r="C78" s="119">
        <v>293</v>
      </c>
      <c r="D78" s="5">
        <f t="shared" si="39"/>
        <v>0</v>
      </c>
      <c r="E78" s="2"/>
      <c r="F78" s="2">
        <v>0</v>
      </c>
      <c r="G78" s="5">
        <f t="shared" si="26"/>
        <v>0</v>
      </c>
      <c r="H78" s="2"/>
      <c r="I78" s="2">
        <v>0</v>
      </c>
    </row>
    <row r="79" spans="1:9" ht="56.25" x14ac:dyDescent="0.25">
      <c r="A79" s="115" t="s">
        <v>158</v>
      </c>
      <c r="B79" s="119">
        <v>853</v>
      </c>
      <c r="C79" s="119">
        <v>295</v>
      </c>
      <c r="D79" s="5">
        <f t="shared" si="39"/>
        <v>0</v>
      </c>
      <c r="E79" s="2"/>
      <c r="F79" s="2">
        <v>0</v>
      </c>
      <c r="G79" s="5">
        <f t="shared" si="26"/>
        <v>0</v>
      </c>
      <c r="H79" s="2"/>
      <c r="I79" s="2">
        <v>0</v>
      </c>
    </row>
    <row r="80" spans="1:9" ht="56.25" x14ac:dyDescent="0.25">
      <c r="A80" s="115" t="s">
        <v>34</v>
      </c>
      <c r="B80" s="119" t="s">
        <v>5</v>
      </c>
      <c r="C80" s="119">
        <v>296</v>
      </c>
      <c r="D80" s="5">
        <f t="shared" si="39"/>
        <v>0</v>
      </c>
      <c r="E80" s="2">
        <f t="shared" ref="E80" si="40">E81+E82+E83+E84+E86</f>
        <v>0</v>
      </c>
      <c r="F80" s="2">
        <f t="shared" ref="F80" si="41">F81+F82+F83+F84+F86</f>
        <v>0</v>
      </c>
      <c r="G80" s="5">
        <f t="shared" si="26"/>
        <v>0</v>
      </c>
      <c r="H80" s="2">
        <f t="shared" ref="H80" si="42">H81+H82+H83+H84+H86</f>
        <v>0</v>
      </c>
      <c r="I80" s="2">
        <f t="shared" ref="I80" si="43">I81+I82+I83+I84+I86</f>
        <v>0</v>
      </c>
    </row>
    <row r="81" spans="1:9" ht="18.75" x14ac:dyDescent="0.25">
      <c r="A81" s="221" t="s">
        <v>6</v>
      </c>
      <c r="B81" s="119">
        <v>244</v>
      </c>
      <c r="C81" s="119">
        <v>296</v>
      </c>
      <c r="D81" s="5">
        <f t="shared" si="39"/>
        <v>0</v>
      </c>
      <c r="E81" s="2"/>
      <c r="F81" s="2"/>
      <c r="G81" s="5">
        <f t="shared" si="26"/>
        <v>0</v>
      </c>
      <c r="H81" s="2"/>
      <c r="I81" s="2"/>
    </row>
    <row r="82" spans="1:9" ht="18.75" x14ac:dyDescent="0.25">
      <c r="A82" s="221"/>
      <c r="B82" s="119">
        <v>340</v>
      </c>
      <c r="C82" s="119">
        <v>296</v>
      </c>
      <c r="D82" s="5">
        <f t="shared" si="39"/>
        <v>0</v>
      </c>
      <c r="E82" s="2"/>
      <c r="F82" s="2"/>
      <c r="G82" s="5">
        <f t="shared" si="26"/>
        <v>0</v>
      </c>
      <c r="H82" s="2"/>
      <c r="I82" s="2"/>
    </row>
    <row r="83" spans="1:9" ht="18.75" x14ac:dyDescent="0.25">
      <c r="A83" s="221"/>
      <c r="B83" s="119">
        <v>350</v>
      </c>
      <c r="C83" s="119">
        <v>296</v>
      </c>
      <c r="D83" s="5">
        <f t="shared" si="39"/>
        <v>0</v>
      </c>
      <c r="E83" s="2"/>
      <c r="F83" s="2"/>
      <c r="G83" s="5">
        <f t="shared" si="26"/>
        <v>0</v>
      </c>
      <c r="H83" s="2"/>
      <c r="I83" s="2"/>
    </row>
    <row r="84" spans="1:9" ht="18.75" x14ac:dyDescent="0.25">
      <c r="A84" s="221"/>
      <c r="B84" s="119">
        <v>360</v>
      </c>
      <c r="C84" s="119">
        <v>296</v>
      </c>
      <c r="D84" s="5">
        <f t="shared" si="39"/>
        <v>0</v>
      </c>
      <c r="E84" s="2"/>
      <c r="F84" s="2"/>
      <c r="G84" s="5">
        <f t="shared" si="26"/>
        <v>0</v>
      </c>
      <c r="H84" s="2"/>
      <c r="I84" s="2"/>
    </row>
    <row r="85" spans="1:9" ht="18.75" x14ac:dyDescent="0.25">
      <c r="A85" s="221"/>
      <c r="B85" s="215">
        <v>831</v>
      </c>
      <c r="C85" s="215">
        <v>296</v>
      </c>
      <c r="D85" s="5">
        <f t="shared" ref="D85" si="44">E85+F85</f>
        <v>0</v>
      </c>
      <c r="E85" s="2"/>
      <c r="F85" s="2"/>
      <c r="G85" s="5">
        <f t="shared" ref="G85" si="45">H85+I85</f>
        <v>0</v>
      </c>
      <c r="H85" s="2"/>
      <c r="I85" s="2"/>
    </row>
    <row r="86" spans="1:9" ht="18.75" x14ac:dyDescent="0.25">
      <c r="A86" s="221"/>
      <c r="B86" s="119">
        <v>853</v>
      </c>
      <c r="C86" s="119">
        <v>296</v>
      </c>
      <c r="D86" s="5">
        <f t="shared" si="39"/>
        <v>0</v>
      </c>
      <c r="E86" s="2"/>
      <c r="F86" s="2"/>
      <c r="G86" s="5">
        <f t="shared" si="26"/>
        <v>0</v>
      </c>
      <c r="H86" s="2"/>
      <c r="I86" s="2"/>
    </row>
    <row r="87" spans="1:9" ht="59.45" customHeight="1" x14ac:dyDescent="0.25">
      <c r="A87" s="115" t="s">
        <v>35</v>
      </c>
      <c r="B87" s="119" t="s">
        <v>5</v>
      </c>
      <c r="C87" s="119">
        <v>297</v>
      </c>
      <c r="D87" s="5">
        <f>E87+D90+F87</f>
        <v>0</v>
      </c>
      <c r="E87" s="5">
        <f t="shared" ref="E87:I87" si="46">F87+E90+G87</f>
        <v>0</v>
      </c>
      <c r="F87" s="5">
        <f>G87+F90+H87</f>
        <v>0</v>
      </c>
      <c r="G87" s="5">
        <f t="shared" si="46"/>
        <v>0</v>
      </c>
      <c r="H87" s="5">
        <f t="shared" si="46"/>
        <v>0</v>
      </c>
      <c r="I87" s="5">
        <f t="shared" si="46"/>
        <v>0</v>
      </c>
    </row>
    <row r="88" spans="1:9" ht="18.75" x14ac:dyDescent="0.25">
      <c r="A88" s="221" t="s">
        <v>6</v>
      </c>
      <c r="B88" s="119">
        <v>244</v>
      </c>
      <c r="C88" s="119">
        <v>297</v>
      </c>
      <c r="D88" s="5">
        <f t="shared" si="39"/>
        <v>0</v>
      </c>
      <c r="E88" s="2"/>
      <c r="F88" s="2"/>
      <c r="G88" s="5">
        <f t="shared" si="26"/>
        <v>0</v>
      </c>
      <c r="H88" s="2"/>
      <c r="I88" s="2"/>
    </row>
    <row r="89" spans="1:9" ht="18.75" x14ac:dyDescent="0.25">
      <c r="A89" s="221"/>
      <c r="B89" s="217">
        <v>613</v>
      </c>
      <c r="C89" s="217">
        <v>297</v>
      </c>
      <c r="D89" s="5">
        <f>E89+F89</f>
        <v>0</v>
      </c>
      <c r="E89" s="2"/>
      <c r="F89" s="2"/>
      <c r="G89" s="5">
        <f t="shared" ref="G89" si="47">H89+I89</f>
        <v>0</v>
      </c>
      <c r="H89" s="2"/>
      <c r="I89" s="2"/>
    </row>
    <row r="90" spans="1:9" ht="18.75" x14ac:dyDescent="0.25">
      <c r="A90" s="221"/>
      <c r="B90" s="192">
        <v>831</v>
      </c>
      <c r="C90" s="192">
        <v>297</v>
      </c>
      <c r="D90" s="5">
        <f t="shared" si="39"/>
        <v>0</v>
      </c>
      <c r="E90" s="2"/>
      <c r="F90" s="2"/>
      <c r="G90" s="5">
        <f>H90+I90</f>
        <v>0</v>
      </c>
      <c r="H90" s="2"/>
      <c r="I90" s="2"/>
    </row>
    <row r="91" spans="1:9" ht="18.75" x14ac:dyDescent="0.25">
      <c r="A91" s="221"/>
      <c r="B91" s="119">
        <v>853</v>
      </c>
      <c r="C91" s="119">
        <v>297</v>
      </c>
      <c r="D91" s="5">
        <f t="shared" si="39"/>
        <v>0</v>
      </c>
      <c r="E91" s="2"/>
      <c r="F91" s="2"/>
      <c r="G91" s="5">
        <f t="shared" si="26"/>
        <v>0</v>
      </c>
      <c r="H91" s="2"/>
      <c r="I91" s="2"/>
    </row>
    <row r="92" spans="1:9" ht="56.25" x14ac:dyDescent="0.25">
      <c r="A92" s="115" t="s">
        <v>59</v>
      </c>
      <c r="B92" s="119" t="s">
        <v>5</v>
      </c>
      <c r="C92" s="119">
        <v>300</v>
      </c>
      <c r="D92" s="5">
        <f t="shared" si="39"/>
        <v>0</v>
      </c>
      <c r="E92" s="2">
        <f>E94+E96+E95</f>
        <v>0</v>
      </c>
      <c r="F92" s="2">
        <f>F94+F96+F95</f>
        <v>0</v>
      </c>
      <c r="G92" s="5">
        <f t="shared" si="26"/>
        <v>0</v>
      </c>
      <c r="H92" s="2">
        <f>H94+H96+H95</f>
        <v>0</v>
      </c>
      <c r="I92" s="2">
        <f>I94+I96+I95</f>
        <v>0</v>
      </c>
    </row>
    <row r="93" spans="1:9" ht="18.75" x14ac:dyDescent="0.25">
      <c r="A93" s="115" t="s">
        <v>9</v>
      </c>
      <c r="B93" s="119"/>
      <c r="C93" s="119"/>
      <c r="D93" s="5"/>
      <c r="E93" s="2"/>
      <c r="F93" s="2"/>
      <c r="G93" s="5"/>
      <c r="H93" s="2"/>
      <c r="I93" s="2"/>
    </row>
    <row r="94" spans="1:9" ht="56.25" x14ac:dyDescent="0.25">
      <c r="A94" s="115" t="s">
        <v>36</v>
      </c>
      <c r="B94" s="119">
        <v>244</v>
      </c>
      <c r="C94" s="119">
        <v>310</v>
      </c>
      <c r="D94" s="5">
        <f t="shared" si="39"/>
        <v>0</v>
      </c>
      <c r="E94" s="2"/>
      <c r="F94" s="2"/>
      <c r="G94" s="5">
        <f t="shared" ref="G94:G96" si="48">H94+I94</f>
        <v>0</v>
      </c>
      <c r="H94" s="2"/>
      <c r="I94" s="2"/>
    </row>
    <row r="95" spans="1:9" ht="75" x14ac:dyDescent="0.25">
      <c r="A95" s="115" t="s">
        <v>68</v>
      </c>
      <c r="B95" s="119">
        <v>244</v>
      </c>
      <c r="C95" s="119">
        <v>320</v>
      </c>
      <c r="D95" s="5">
        <f t="shared" si="39"/>
        <v>0</v>
      </c>
      <c r="E95" s="2"/>
      <c r="F95" s="2"/>
      <c r="G95" s="5">
        <f t="shared" si="48"/>
        <v>0</v>
      </c>
      <c r="H95" s="2"/>
      <c r="I95" s="2"/>
    </row>
    <row r="96" spans="1:9" ht="75" x14ac:dyDescent="0.25">
      <c r="A96" s="115" t="s">
        <v>60</v>
      </c>
      <c r="B96" s="119" t="s">
        <v>5</v>
      </c>
      <c r="C96" s="119">
        <v>340</v>
      </c>
      <c r="D96" s="5">
        <f t="shared" si="39"/>
        <v>0</v>
      </c>
      <c r="E96" s="2">
        <f>E98+E99+E100+E101+E102+E103+E104+E105</f>
        <v>0</v>
      </c>
      <c r="F96" s="2">
        <f>F98+F99+F100+F101+F102+F103+F104+F105</f>
        <v>0</v>
      </c>
      <c r="G96" s="5">
        <f t="shared" si="48"/>
        <v>0</v>
      </c>
      <c r="H96" s="2">
        <f>H98+H99+H100+H101+H102+H103+H104+H105</f>
        <v>0</v>
      </c>
      <c r="I96" s="2">
        <f>I98+I99+I100+I101+I102+I103+I104+I105</f>
        <v>0</v>
      </c>
    </row>
    <row r="97" spans="1:9" ht="18.75" x14ac:dyDescent="0.25">
      <c r="A97" s="115" t="s">
        <v>6</v>
      </c>
      <c r="B97" s="119"/>
      <c r="C97" s="119"/>
      <c r="D97" s="5"/>
      <c r="E97" s="2"/>
      <c r="F97" s="2"/>
      <c r="G97" s="5"/>
      <c r="H97" s="2"/>
      <c r="I97" s="2"/>
    </row>
    <row r="98" spans="1:9" ht="131.25" x14ac:dyDescent="0.25">
      <c r="A98" s="115" t="s">
        <v>37</v>
      </c>
      <c r="B98" s="119">
        <v>244</v>
      </c>
      <c r="C98" s="119">
        <v>341</v>
      </c>
      <c r="D98" s="5">
        <f t="shared" si="39"/>
        <v>0</v>
      </c>
      <c r="E98" s="2"/>
      <c r="F98" s="2"/>
      <c r="G98" s="5">
        <f t="shared" ref="G98:G106" si="49">H98+I98</f>
        <v>0</v>
      </c>
      <c r="H98" s="2"/>
      <c r="I98" s="2"/>
    </row>
    <row r="99" spans="1:9" ht="56.25" x14ac:dyDescent="0.25">
      <c r="A99" s="115" t="s">
        <v>38</v>
      </c>
      <c r="B99" s="119">
        <v>244</v>
      </c>
      <c r="C99" s="119">
        <v>342</v>
      </c>
      <c r="D99" s="5">
        <f t="shared" si="39"/>
        <v>0</v>
      </c>
      <c r="E99" s="2"/>
      <c r="F99" s="2"/>
      <c r="G99" s="5">
        <f t="shared" si="49"/>
        <v>0</v>
      </c>
      <c r="H99" s="2"/>
      <c r="I99" s="2"/>
    </row>
    <row r="100" spans="1:9" ht="75" x14ac:dyDescent="0.25">
      <c r="A100" s="115" t="s">
        <v>39</v>
      </c>
      <c r="B100" s="119">
        <v>244</v>
      </c>
      <c r="C100" s="119">
        <v>343</v>
      </c>
      <c r="D100" s="5">
        <f t="shared" si="39"/>
        <v>0</v>
      </c>
      <c r="E100" s="2"/>
      <c r="F100" s="2"/>
      <c r="G100" s="5">
        <f t="shared" si="49"/>
        <v>0</v>
      </c>
      <c r="H100" s="2"/>
      <c r="I100" s="2"/>
    </row>
    <row r="101" spans="1:9" ht="75" x14ac:dyDescent="0.25">
      <c r="A101" s="115" t="s">
        <v>40</v>
      </c>
      <c r="B101" s="119">
        <v>244</v>
      </c>
      <c r="C101" s="119">
        <v>344</v>
      </c>
      <c r="D101" s="5">
        <f t="shared" si="39"/>
        <v>0</v>
      </c>
      <c r="E101" s="2"/>
      <c r="F101" s="2"/>
      <c r="G101" s="5">
        <f t="shared" si="49"/>
        <v>0</v>
      </c>
      <c r="H101" s="2"/>
      <c r="I101" s="2"/>
    </row>
    <row r="102" spans="1:9" ht="56.25" x14ac:dyDescent="0.25">
      <c r="A102" s="115" t="s">
        <v>41</v>
      </c>
      <c r="B102" s="119">
        <v>244</v>
      </c>
      <c r="C102" s="119">
        <v>345</v>
      </c>
      <c r="D102" s="5">
        <f t="shared" si="39"/>
        <v>0</v>
      </c>
      <c r="E102" s="2"/>
      <c r="F102" s="2"/>
      <c r="G102" s="5">
        <f t="shared" si="49"/>
        <v>0</v>
      </c>
      <c r="H102" s="2"/>
      <c r="I102" s="2"/>
    </row>
    <row r="103" spans="1:9" ht="75" x14ac:dyDescent="0.25">
      <c r="A103" s="115" t="s">
        <v>42</v>
      </c>
      <c r="B103" s="119">
        <v>244</v>
      </c>
      <c r="C103" s="119">
        <v>346</v>
      </c>
      <c r="D103" s="5">
        <f t="shared" si="39"/>
        <v>0</v>
      </c>
      <c r="E103" s="2"/>
      <c r="F103" s="2"/>
      <c r="G103" s="5">
        <f t="shared" si="49"/>
        <v>0</v>
      </c>
      <c r="H103" s="2"/>
      <c r="I103" s="2"/>
    </row>
    <row r="104" spans="1:9" ht="112.5" x14ac:dyDescent="0.25">
      <c r="A104" s="170" t="s">
        <v>346</v>
      </c>
      <c r="B104" s="171">
        <v>244</v>
      </c>
      <c r="C104" s="171">
        <v>347</v>
      </c>
      <c r="D104" s="5">
        <f t="shared" ref="D104" si="50">E104+F104</f>
        <v>0</v>
      </c>
      <c r="E104" s="2"/>
      <c r="F104" s="2"/>
      <c r="G104" s="5">
        <f t="shared" ref="G104" si="51">H104+I104</f>
        <v>0</v>
      </c>
      <c r="H104" s="2"/>
      <c r="I104" s="2"/>
    </row>
    <row r="105" spans="1:9" ht="112.5" x14ac:dyDescent="0.25">
      <c r="A105" s="115" t="s">
        <v>43</v>
      </c>
      <c r="B105" s="119">
        <v>244</v>
      </c>
      <c r="C105" s="119">
        <v>349</v>
      </c>
      <c r="D105" s="5">
        <f t="shared" si="39"/>
        <v>0</v>
      </c>
      <c r="E105" s="2"/>
      <c r="F105" s="2"/>
      <c r="G105" s="5">
        <f t="shared" si="49"/>
        <v>0</v>
      </c>
      <c r="H105" s="2"/>
      <c r="I105" s="2"/>
    </row>
    <row r="106" spans="1:9" ht="56.25" x14ac:dyDescent="0.25">
      <c r="A106" s="115" t="s">
        <v>67</v>
      </c>
      <c r="B106" s="119" t="s">
        <v>5</v>
      </c>
      <c r="C106" s="119" t="s">
        <v>5</v>
      </c>
      <c r="D106" s="5">
        <f t="shared" si="39"/>
        <v>0</v>
      </c>
      <c r="E106" s="2">
        <f t="shared" ref="E106" si="52">E108+E109+E110</f>
        <v>0</v>
      </c>
      <c r="F106" s="2">
        <f t="shared" ref="F106" si="53">F108+F109+F110</f>
        <v>0</v>
      </c>
      <c r="G106" s="5">
        <f t="shared" si="49"/>
        <v>0</v>
      </c>
      <c r="H106" s="2">
        <f t="shared" ref="H106" si="54">H108+H109+H110</f>
        <v>0</v>
      </c>
      <c r="I106" s="2">
        <f t="shared" ref="I106" si="55">I108+I109+I110</f>
        <v>0</v>
      </c>
    </row>
    <row r="107" spans="1:9" ht="18.75" x14ac:dyDescent="0.25">
      <c r="A107" s="115" t="s">
        <v>6</v>
      </c>
      <c r="B107" s="119"/>
      <c r="C107" s="119"/>
      <c r="D107" s="5"/>
      <c r="E107" s="2"/>
      <c r="F107" s="2"/>
      <c r="G107" s="5"/>
      <c r="H107" s="2"/>
      <c r="I107" s="2"/>
    </row>
    <row r="108" spans="1:9" ht="18.75" x14ac:dyDescent="0.25">
      <c r="A108" s="115" t="s">
        <v>194</v>
      </c>
      <c r="B108" s="119">
        <v>180</v>
      </c>
      <c r="C108" s="119" t="s">
        <v>5</v>
      </c>
      <c r="D108" s="5">
        <f t="shared" si="39"/>
        <v>0</v>
      </c>
      <c r="E108" s="2"/>
      <c r="F108" s="2"/>
      <c r="G108" s="5">
        <f t="shared" ref="G108:G110" si="56">H108+I108</f>
        <v>0</v>
      </c>
      <c r="H108" s="2"/>
      <c r="I108" s="2"/>
    </row>
    <row r="109" spans="1:9" ht="56.25" x14ac:dyDescent="0.25">
      <c r="A109" s="115" t="s">
        <v>195</v>
      </c>
      <c r="B109" s="119">
        <v>180</v>
      </c>
      <c r="C109" s="119" t="s">
        <v>5</v>
      </c>
      <c r="D109" s="5">
        <f t="shared" si="39"/>
        <v>0</v>
      </c>
      <c r="E109" s="2"/>
      <c r="F109" s="2"/>
      <c r="G109" s="5">
        <f t="shared" si="56"/>
        <v>0</v>
      </c>
      <c r="H109" s="2"/>
      <c r="I109" s="2"/>
    </row>
    <row r="110" spans="1:9" ht="57" thickBot="1" x14ac:dyDescent="0.3">
      <c r="A110" s="32" t="s">
        <v>196</v>
      </c>
      <c r="B110" s="33">
        <v>180</v>
      </c>
      <c r="C110" s="33" t="s">
        <v>5</v>
      </c>
      <c r="D110" s="34">
        <f t="shared" si="39"/>
        <v>0</v>
      </c>
      <c r="E110" s="35"/>
      <c r="F110" s="35"/>
      <c r="G110" s="34">
        <f t="shared" si="56"/>
        <v>0</v>
      </c>
      <c r="H110" s="35"/>
      <c r="I110" s="35"/>
    </row>
    <row r="111" spans="1:9" ht="18.75" x14ac:dyDescent="0.3">
      <c r="A111" s="29"/>
      <c r="B111" s="10"/>
      <c r="C111" s="10"/>
      <c r="D111" s="10"/>
      <c r="E111" s="10"/>
      <c r="F111" s="10"/>
    </row>
    <row r="112" spans="1:9" ht="18.75" x14ac:dyDescent="0.3">
      <c r="A112" s="29"/>
      <c r="B112" s="10"/>
      <c r="C112" s="10"/>
      <c r="D112" s="10"/>
      <c r="E112" s="10"/>
      <c r="F112" s="10"/>
    </row>
    <row r="113" spans="1:16" ht="37.5" x14ac:dyDescent="0.3">
      <c r="A113" s="29" t="s">
        <v>52</v>
      </c>
      <c r="B113" s="224"/>
      <c r="C113" s="224"/>
      <c r="D113" s="10"/>
      <c r="E113" s="224"/>
      <c r="F113" s="224"/>
    </row>
    <row r="114" spans="1:16" ht="18.75" x14ac:dyDescent="0.3">
      <c r="A114" s="29"/>
      <c r="B114" s="223" t="s">
        <v>53</v>
      </c>
      <c r="C114" s="223"/>
      <c r="D114" s="10"/>
      <c r="E114" s="223" t="s">
        <v>54</v>
      </c>
      <c r="F114" s="223"/>
    </row>
    <row r="115" spans="1:16" ht="18.75" x14ac:dyDescent="0.3">
      <c r="A115" s="29"/>
      <c r="B115" s="10"/>
      <c r="C115" s="10"/>
      <c r="D115" s="10"/>
      <c r="E115" s="10"/>
      <c r="F115" s="10"/>
    </row>
    <row r="116" spans="1:16" ht="37.5" x14ac:dyDescent="0.3">
      <c r="A116" s="29" t="s">
        <v>55</v>
      </c>
      <c r="B116" s="224"/>
      <c r="C116" s="224"/>
      <c r="D116" s="10"/>
      <c r="E116" s="224"/>
      <c r="F116" s="224"/>
    </row>
    <row r="117" spans="1:16" ht="18.75" x14ac:dyDescent="0.3">
      <c r="A117" s="29"/>
      <c r="B117" s="223" t="s">
        <v>53</v>
      </c>
      <c r="C117" s="223"/>
      <c r="D117" s="10"/>
      <c r="E117" s="223" t="s">
        <v>54</v>
      </c>
      <c r="F117" s="223"/>
    </row>
    <row r="118" spans="1:16" ht="18.75" x14ac:dyDescent="0.3">
      <c r="A118" s="29"/>
      <c r="B118" s="116"/>
      <c r="C118" s="116"/>
      <c r="D118" s="10"/>
      <c r="E118" s="116"/>
      <c r="F118" s="116"/>
    </row>
    <row r="119" spans="1:16" ht="18.75" x14ac:dyDescent="0.3">
      <c r="A119" s="29" t="s">
        <v>56</v>
      </c>
      <c r="B119" s="224"/>
      <c r="C119" s="224"/>
      <c r="D119" s="10"/>
      <c r="E119" s="224"/>
      <c r="F119" s="224"/>
    </row>
    <row r="120" spans="1:16" ht="18.75" x14ac:dyDescent="0.3">
      <c r="A120" s="29"/>
      <c r="B120" s="223" t="s">
        <v>53</v>
      </c>
      <c r="C120" s="223"/>
      <c r="D120" s="10"/>
      <c r="E120" s="223" t="s">
        <v>54</v>
      </c>
      <c r="F120" s="223"/>
    </row>
    <row r="121" spans="1:16" ht="18.75" x14ac:dyDescent="0.3">
      <c r="A121" s="29" t="s">
        <v>57</v>
      </c>
      <c r="B121" s="10"/>
      <c r="C121" s="10"/>
      <c r="D121" s="10"/>
      <c r="E121" s="10"/>
      <c r="F121" s="10"/>
    </row>
    <row r="122" spans="1:16" ht="18.75" x14ac:dyDescent="0.3">
      <c r="A122" s="222" t="s">
        <v>44</v>
      </c>
      <c r="B122" s="222"/>
      <c r="C122" s="10"/>
      <c r="D122" s="10"/>
      <c r="E122" s="10"/>
      <c r="F122" s="10"/>
    </row>
    <row r="123" spans="1:16" ht="18.75" x14ac:dyDescent="0.25">
      <c r="A123" s="321" t="s">
        <v>192</v>
      </c>
      <c r="B123" s="321"/>
      <c r="C123" s="321"/>
      <c r="D123" s="321"/>
      <c r="E123" s="321"/>
      <c r="F123" s="321"/>
      <c r="G123" s="321"/>
      <c r="H123" s="321"/>
      <c r="I123" s="321"/>
      <c r="K123" s="320" t="s">
        <v>233</v>
      </c>
      <c r="L123" s="320"/>
      <c r="M123" s="320"/>
      <c r="N123" s="320" t="s">
        <v>234</v>
      </c>
      <c r="O123" s="320"/>
      <c r="P123" s="320"/>
    </row>
    <row r="124" spans="1:16" ht="45" x14ac:dyDescent="0.25">
      <c r="A124" s="54" t="s">
        <v>236</v>
      </c>
      <c r="B124" s="58" t="s">
        <v>5</v>
      </c>
      <c r="C124" s="58" t="s">
        <v>5</v>
      </c>
      <c r="D124" s="5">
        <f t="shared" ref="D124:D125" si="57">E124+F124</f>
        <v>0</v>
      </c>
      <c r="E124" s="2"/>
      <c r="F124" s="4"/>
      <c r="G124" s="5">
        <f t="shared" ref="G124:G125" si="58">H124+I124</f>
        <v>0</v>
      </c>
      <c r="H124" s="2"/>
      <c r="I124" s="4"/>
      <c r="J124" s="36"/>
      <c r="K124" s="71" t="s">
        <v>230</v>
      </c>
      <c r="L124" s="71" t="s">
        <v>231</v>
      </c>
      <c r="M124" s="71" t="s">
        <v>232</v>
      </c>
      <c r="N124" s="71" t="s">
        <v>230</v>
      </c>
      <c r="O124" s="71" t="s">
        <v>231</v>
      </c>
      <c r="P124" s="71" t="s">
        <v>232</v>
      </c>
    </row>
    <row r="125" spans="1:16" ht="18.75" x14ac:dyDescent="0.25">
      <c r="A125" s="54" t="s">
        <v>7</v>
      </c>
      <c r="B125" s="58" t="s">
        <v>5</v>
      </c>
      <c r="C125" s="58">
        <v>900</v>
      </c>
      <c r="D125" s="5">
        <f t="shared" si="57"/>
        <v>0</v>
      </c>
      <c r="E125" s="2">
        <f>E128+E157+E172+E201</f>
        <v>0</v>
      </c>
      <c r="F125" s="2">
        <f>F128+F157</f>
        <v>0</v>
      </c>
      <c r="G125" s="5">
        <f t="shared" si="58"/>
        <v>0</v>
      </c>
      <c r="H125" s="2">
        <f>H128+H157+H172+H201</f>
        <v>0</v>
      </c>
      <c r="I125" s="2">
        <f>I128+I157</f>
        <v>0</v>
      </c>
      <c r="J125" s="36"/>
      <c r="K125" s="72">
        <f>E31+E32+E33+E35+E41+E55+E56+E57+E64+E67+E68+E70+E74+E75+E76+E77+E78+E79+E82+E83+E84+E86+E91</f>
        <v>0</v>
      </c>
      <c r="L125" s="72">
        <f>K125+D125</f>
        <v>0</v>
      </c>
      <c r="M125" s="72">
        <f>L125-E25</f>
        <v>0</v>
      </c>
      <c r="N125" s="72">
        <f>H31+H32+H33+H35+H41+H55+H56+H57+H64+H67+H68+H70+H74+H75+H76+H77+H78+H79+H82+H83+H84+H86+H91</f>
        <v>0</v>
      </c>
      <c r="O125" s="72">
        <f>N125+G125</f>
        <v>0</v>
      </c>
      <c r="P125" s="72">
        <f>O125-H25</f>
        <v>0</v>
      </c>
    </row>
    <row r="126" spans="1:16" ht="18.75" x14ac:dyDescent="0.25">
      <c r="A126" s="54" t="s">
        <v>6</v>
      </c>
      <c r="B126" s="58"/>
      <c r="C126" s="58"/>
      <c r="D126" s="5"/>
      <c r="E126" s="2"/>
      <c r="F126" s="4"/>
      <c r="G126" s="5"/>
      <c r="H126" s="2"/>
      <c r="I126" s="4"/>
      <c r="J126" s="36"/>
      <c r="K126" s="36"/>
      <c r="L126" s="36"/>
    </row>
    <row r="127" spans="1:16" ht="17.45" customHeight="1" x14ac:dyDescent="0.25">
      <c r="A127" s="322" t="s">
        <v>200</v>
      </c>
      <c r="B127" s="323"/>
      <c r="C127" s="323"/>
      <c r="D127" s="323"/>
      <c r="E127" s="323"/>
      <c r="F127" s="323"/>
      <c r="G127" s="323"/>
      <c r="H127" s="323"/>
      <c r="I127" s="323"/>
      <c r="J127" s="76"/>
      <c r="K127" s="76"/>
      <c r="L127" s="76"/>
    </row>
    <row r="128" spans="1:16" ht="18.75" x14ac:dyDescent="0.25">
      <c r="A128" s="54" t="s">
        <v>8</v>
      </c>
      <c r="B128" s="58" t="s">
        <v>5</v>
      </c>
      <c r="C128" s="58">
        <v>200</v>
      </c>
      <c r="D128" s="5">
        <f t="shared" ref="D128:D161" si="59">E128+F128</f>
        <v>0</v>
      </c>
      <c r="E128" s="2">
        <f>E130+E133+E153</f>
        <v>0</v>
      </c>
      <c r="F128" s="2">
        <f>F130+F133+F153</f>
        <v>0</v>
      </c>
      <c r="G128" s="5">
        <f t="shared" ref="G128" si="60">H128+I128</f>
        <v>0</v>
      </c>
      <c r="H128" s="2">
        <f>H130+H133+H153</f>
        <v>0</v>
      </c>
      <c r="I128" s="2">
        <f>I130+I133+I153</f>
        <v>0</v>
      </c>
      <c r="J128" s="36"/>
      <c r="K128" s="36"/>
      <c r="L128" s="36"/>
    </row>
    <row r="129" spans="1:12" ht="18.75" x14ac:dyDescent="0.25">
      <c r="A129" s="54" t="s">
        <v>9</v>
      </c>
      <c r="B129" s="58"/>
      <c r="C129" s="58"/>
      <c r="D129" s="5"/>
      <c r="E129" s="2"/>
      <c r="F129" s="2"/>
      <c r="G129" s="5"/>
      <c r="H129" s="2"/>
      <c r="I129" s="2"/>
      <c r="J129" s="36"/>
      <c r="K129" s="36"/>
      <c r="L129" s="36"/>
    </row>
    <row r="130" spans="1:12" ht="75" x14ac:dyDescent="0.25">
      <c r="A130" s="54" t="s">
        <v>10</v>
      </c>
      <c r="B130" s="58" t="s">
        <v>5</v>
      </c>
      <c r="C130" s="58">
        <v>210</v>
      </c>
      <c r="D130" s="5">
        <f t="shared" si="59"/>
        <v>0</v>
      </c>
      <c r="E130" s="2">
        <f>E132</f>
        <v>0</v>
      </c>
      <c r="F130" s="2">
        <f>F132</f>
        <v>0</v>
      </c>
      <c r="G130" s="5">
        <f t="shared" ref="G130" si="61">H130+I130</f>
        <v>0</v>
      </c>
      <c r="H130" s="2">
        <f>H132</f>
        <v>0</v>
      </c>
      <c r="I130" s="2">
        <f>I132</f>
        <v>0</v>
      </c>
      <c r="J130" s="36"/>
      <c r="K130" s="36"/>
      <c r="L130" s="36"/>
    </row>
    <row r="131" spans="1:12" ht="18.75" x14ac:dyDescent="0.25">
      <c r="A131" s="54" t="s">
        <v>9</v>
      </c>
      <c r="B131" s="58"/>
      <c r="C131" s="58"/>
      <c r="D131" s="5"/>
      <c r="E131" s="2"/>
      <c r="F131" s="2"/>
      <c r="G131" s="5"/>
      <c r="H131" s="2"/>
      <c r="I131" s="2"/>
      <c r="J131" s="36"/>
      <c r="K131" s="36"/>
      <c r="L131" s="36"/>
    </row>
    <row r="132" spans="1:12" ht="93.75" x14ac:dyDescent="0.25">
      <c r="A132" s="54" t="s">
        <v>201</v>
      </c>
      <c r="B132" s="58">
        <v>244</v>
      </c>
      <c r="C132" s="58">
        <v>214</v>
      </c>
      <c r="D132" s="5">
        <f>E132+F132</f>
        <v>0</v>
      </c>
      <c r="E132" s="2"/>
      <c r="F132" s="2"/>
      <c r="G132" s="5">
        <f>H132+I132</f>
        <v>0</v>
      </c>
      <c r="H132" s="2"/>
      <c r="I132" s="2"/>
      <c r="J132" s="36"/>
      <c r="K132" s="36"/>
      <c r="L132" s="36"/>
    </row>
    <row r="133" spans="1:12" ht="37.5" x14ac:dyDescent="0.25">
      <c r="A133" s="54" t="s">
        <v>14</v>
      </c>
      <c r="B133" s="58" t="s">
        <v>5</v>
      </c>
      <c r="C133" s="58">
        <v>220</v>
      </c>
      <c r="D133" s="5">
        <f t="shared" si="59"/>
        <v>0</v>
      </c>
      <c r="E133" s="2">
        <f>E135+E136+E137+E144+E145+E148+E151+E152</f>
        <v>0</v>
      </c>
      <c r="F133" s="2">
        <f>F135+F136+F137+F144+F145+F148+F151+F152</f>
        <v>0</v>
      </c>
      <c r="G133" s="5">
        <f t="shared" ref="G133" si="62">H133+I133</f>
        <v>0</v>
      </c>
      <c r="H133" s="2">
        <f>H135+H136+H137+H144+H145+H148+H151+H152</f>
        <v>0</v>
      </c>
      <c r="I133" s="2">
        <f>I135+I136+I137+I144+I145+I148+I151+I152</f>
        <v>0</v>
      </c>
      <c r="J133" s="36"/>
      <c r="K133" s="36"/>
      <c r="L133" s="36"/>
    </row>
    <row r="134" spans="1:12" ht="18.75" x14ac:dyDescent="0.25">
      <c r="A134" s="54" t="s">
        <v>9</v>
      </c>
      <c r="B134" s="58"/>
      <c r="C134" s="58"/>
      <c r="D134" s="5"/>
      <c r="E134" s="2"/>
      <c r="F134" s="2"/>
      <c r="G134" s="5"/>
      <c r="H134" s="2"/>
      <c r="I134" s="2"/>
      <c r="J134" s="36"/>
      <c r="K134" s="36"/>
      <c r="L134" s="36"/>
    </row>
    <row r="135" spans="1:12" ht="18.75" x14ac:dyDescent="0.25">
      <c r="A135" s="54" t="s">
        <v>15</v>
      </c>
      <c r="B135" s="58">
        <v>244</v>
      </c>
      <c r="C135" s="58">
        <v>221</v>
      </c>
      <c r="D135" s="5">
        <f t="shared" si="59"/>
        <v>0</v>
      </c>
      <c r="E135" s="2"/>
      <c r="F135" s="2"/>
      <c r="G135" s="5">
        <f t="shared" ref="G135:G137" si="63">H135+I135</f>
        <v>0</v>
      </c>
      <c r="H135" s="2"/>
      <c r="I135" s="2"/>
      <c r="J135" s="36"/>
      <c r="K135" s="36"/>
      <c r="L135" s="36"/>
    </row>
    <row r="136" spans="1:12" ht="37.5" x14ac:dyDescent="0.25">
      <c r="A136" s="54" t="s">
        <v>16</v>
      </c>
      <c r="B136" s="58">
        <v>244</v>
      </c>
      <c r="C136" s="58">
        <v>222</v>
      </c>
      <c r="D136" s="5">
        <f t="shared" si="59"/>
        <v>0</v>
      </c>
      <c r="E136" s="2"/>
      <c r="F136" s="2"/>
      <c r="G136" s="5">
        <f t="shared" si="63"/>
        <v>0</v>
      </c>
      <c r="H136" s="2"/>
      <c r="I136" s="2"/>
      <c r="J136" s="36"/>
      <c r="K136" s="36"/>
      <c r="L136" s="36"/>
    </row>
    <row r="137" spans="1:12" ht="37.5" x14ac:dyDescent="0.25">
      <c r="A137" s="54" t="s">
        <v>17</v>
      </c>
      <c r="B137" s="58" t="s">
        <v>5</v>
      </c>
      <c r="C137" s="58">
        <v>223</v>
      </c>
      <c r="D137" s="5">
        <f t="shared" si="59"/>
        <v>0</v>
      </c>
      <c r="E137" s="2">
        <f t="shared" ref="E137:F137" si="64">E139+E140+E141+E142+E143</f>
        <v>0</v>
      </c>
      <c r="F137" s="2">
        <f t="shared" si="64"/>
        <v>0</v>
      </c>
      <c r="G137" s="5">
        <f t="shared" si="63"/>
        <v>0</v>
      </c>
      <c r="H137" s="2">
        <f t="shared" ref="H137:I137" si="65">H139+H140+H141+H142+H143</f>
        <v>0</v>
      </c>
      <c r="I137" s="2">
        <f t="shared" si="65"/>
        <v>0</v>
      </c>
      <c r="J137" s="36"/>
      <c r="K137" s="36"/>
      <c r="L137" s="36"/>
    </row>
    <row r="138" spans="1:12" ht="18.75" x14ac:dyDescent="0.25">
      <c r="A138" s="54" t="s">
        <v>6</v>
      </c>
      <c r="B138" s="58"/>
      <c r="C138" s="58"/>
      <c r="D138" s="5"/>
      <c r="E138" s="2"/>
      <c r="F138" s="2"/>
      <c r="G138" s="5"/>
      <c r="H138" s="2"/>
      <c r="I138" s="2"/>
      <c r="J138" s="36"/>
      <c r="K138" s="36"/>
      <c r="L138" s="36"/>
    </row>
    <row r="139" spans="1:12" ht="56.25" x14ac:dyDescent="0.25">
      <c r="A139" s="54" t="s">
        <v>18</v>
      </c>
      <c r="B139" s="58">
        <v>244</v>
      </c>
      <c r="C139" s="58">
        <v>223</v>
      </c>
      <c r="D139" s="5">
        <f t="shared" si="59"/>
        <v>0</v>
      </c>
      <c r="E139" s="2"/>
      <c r="F139" s="2"/>
      <c r="G139" s="5">
        <f t="shared" ref="G139:G144" si="66">H139+I139</f>
        <v>0</v>
      </c>
      <c r="H139" s="2"/>
      <c r="I139" s="2"/>
      <c r="J139" s="36"/>
      <c r="K139" s="36"/>
      <c r="L139" s="36"/>
    </row>
    <row r="140" spans="1:12" ht="37.5" x14ac:dyDescent="0.25">
      <c r="A140" s="54" t="s">
        <v>19</v>
      </c>
      <c r="B140" s="58">
        <v>244</v>
      </c>
      <c r="C140" s="58">
        <v>223</v>
      </c>
      <c r="D140" s="5">
        <f t="shared" si="59"/>
        <v>0</v>
      </c>
      <c r="E140" s="2"/>
      <c r="F140" s="2"/>
      <c r="G140" s="5">
        <f t="shared" si="66"/>
        <v>0</v>
      </c>
      <c r="H140" s="2"/>
      <c r="I140" s="2"/>
      <c r="J140" s="36"/>
      <c r="K140" s="36"/>
      <c r="L140" s="36"/>
    </row>
    <row r="141" spans="1:12" ht="75" x14ac:dyDescent="0.25">
      <c r="A141" s="54" t="s">
        <v>20</v>
      </c>
      <c r="B141" s="58">
        <v>244</v>
      </c>
      <c r="C141" s="58">
        <v>223</v>
      </c>
      <c r="D141" s="5">
        <f t="shared" si="59"/>
        <v>0</v>
      </c>
      <c r="E141" s="2"/>
      <c r="F141" s="2"/>
      <c r="G141" s="5">
        <f t="shared" si="66"/>
        <v>0</v>
      </c>
      <c r="H141" s="2"/>
      <c r="I141" s="2"/>
      <c r="J141" s="36"/>
      <c r="K141" s="36"/>
      <c r="L141" s="36"/>
    </row>
    <row r="142" spans="1:12" ht="75" x14ac:dyDescent="0.25">
      <c r="A142" s="54" t="s">
        <v>21</v>
      </c>
      <c r="B142" s="58">
        <v>244</v>
      </c>
      <c r="C142" s="58">
        <v>223</v>
      </c>
      <c r="D142" s="5">
        <f t="shared" si="59"/>
        <v>0</v>
      </c>
      <c r="E142" s="2"/>
      <c r="F142" s="2"/>
      <c r="G142" s="5">
        <f t="shared" si="66"/>
        <v>0</v>
      </c>
      <c r="H142" s="2"/>
      <c r="I142" s="2"/>
      <c r="J142" s="36"/>
      <c r="K142" s="36"/>
      <c r="L142" s="36"/>
    </row>
    <row r="143" spans="1:12" ht="56.25" x14ac:dyDescent="0.25">
      <c r="A143" s="54" t="s">
        <v>22</v>
      </c>
      <c r="B143" s="58">
        <v>244</v>
      </c>
      <c r="C143" s="58">
        <v>223</v>
      </c>
      <c r="D143" s="5">
        <f t="shared" si="59"/>
        <v>0</v>
      </c>
      <c r="E143" s="2"/>
      <c r="F143" s="2"/>
      <c r="G143" s="5">
        <f t="shared" si="66"/>
        <v>0</v>
      </c>
      <c r="H143" s="2"/>
      <c r="I143" s="2"/>
      <c r="J143" s="36"/>
      <c r="K143" s="36"/>
      <c r="L143" s="36"/>
    </row>
    <row r="144" spans="1:12" ht="168.75" x14ac:dyDescent="0.25">
      <c r="A144" s="54" t="s">
        <v>23</v>
      </c>
      <c r="B144" s="58">
        <v>244</v>
      </c>
      <c r="C144" s="58">
        <v>224</v>
      </c>
      <c r="D144" s="5">
        <f t="shared" si="59"/>
        <v>0</v>
      </c>
      <c r="E144" s="2"/>
      <c r="F144" s="2"/>
      <c r="G144" s="5">
        <f t="shared" si="66"/>
        <v>0</v>
      </c>
      <c r="H144" s="2"/>
      <c r="I144" s="2"/>
      <c r="J144" s="36"/>
      <c r="K144" s="36"/>
      <c r="L144" s="36"/>
    </row>
    <row r="145" spans="1:12" ht="56.25" x14ac:dyDescent="0.25">
      <c r="A145" s="54" t="s">
        <v>24</v>
      </c>
      <c r="B145" s="58" t="s">
        <v>5</v>
      </c>
      <c r="C145" s="58">
        <v>225</v>
      </c>
      <c r="D145" s="2">
        <f t="shared" ref="D145:G145" si="67">D146+D147</f>
        <v>0</v>
      </c>
      <c r="E145" s="2">
        <f>E146+E147</f>
        <v>0</v>
      </c>
      <c r="F145" s="2">
        <f t="shared" si="67"/>
        <v>0</v>
      </c>
      <c r="G145" s="2">
        <f t="shared" si="67"/>
        <v>0</v>
      </c>
      <c r="H145" s="2">
        <f>H146+H147</f>
        <v>0</v>
      </c>
      <c r="I145" s="2">
        <f t="shared" ref="I145" si="68">I146+I147</f>
        <v>0</v>
      </c>
      <c r="J145" s="36"/>
      <c r="K145" s="36"/>
      <c r="L145" s="36"/>
    </row>
    <row r="146" spans="1:12" ht="18.75" x14ac:dyDescent="0.25">
      <c r="A146" s="221" t="s">
        <v>6</v>
      </c>
      <c r="B146" s="58">
        <v>243</v>
      </c>
      <c r="C146" s="58">
        <v>225</v>
      </c>
      <c r="D146" s="5">
        <f t="shared" si="59"/>
        <v>0</v>
      </c>
      <c r="E146" s="2"/>
      <c r="F146" s="2"/>
      <c r="G146" s="5">
        <f t="shared" ref="G146:G157" si="69">H146+I146</f>
        <v>0</v>
      </c>
      <c r="H146" s="2"/>
      <c r="I146" s="2"/>
      <c r="J146" s="36"/>
      <c r="K146" s="36"/>
      <c r="L146" s="36"/>
    </row>
    <row r="147" spans="1:12" ht="18.75" x14ac:dyDescent="0.25">
      <c r="A147" s="221"/>
      <c r="B147" s="58">
        <v>244</v>
      </c>
      <c r="C147" s="58">
        <v>225</v>
      </c>
      <c r="D147" s="5">
        <f t="shared" si="59"/>
        <v>0</v>
      </c>
      <c r="E147" s="2"/>
      <c r="F147" s="2"/>
      <c r="G147" s="5">
        <f t="shared" si="69"/>
        <v>0</v>
      </c>
      <c r="H147" s="2"/>
      <c r="I147" s="2"/>
      <c r="J147" s="36"/>
      <c r="K147" s="36"/>
      <c r="L147" s="36"/>
    </row>
    <row r="148" spans="1:12" ht="37.5" x14ac:dyDescent="0.25">
      <c r="A148" s="54" t="s">
        <v>58</v>
      </c>
      <c r="B148" s="58" t="s">
        <v>5</v>
      </c>
      <c r="C148" s="58">
        <v>226</v>
      </c>
      <c r="D148" s="5">
        <f t="shared" si="59"/>
        <v>0</v>
      </c>
      <c r="E148" s="2">
        <f>E149+E150</f>
        <v>0</v>
      </c>
      <c r="F148" s="2">
        <f>F149+F150</f>
        <v>0</v>
      </c>
      <c r="G148" s="5">
        <f t="shared" si="69"/>
        <v>0</v>
      </c>
      <c r="H148" s="2">
        <f>H149+H150</f>
        <v>0</v>
      </c>
      <c r="I148" s="2">
        <f>I149+I150</f>
        <v>0</v>
      </c>
      <c r="J148" s="36"/>
      <c r="K148" s="36"/>
      <c r="L148" s="36"/>
    </row>
    <row r="149" spans="1:12" ht="18.75" x14ac:dyDescent="0.25">
      <c r="A149" s="221" t="s">
        <v>6</v>
      </c>
      <c r="B149" s="58">
        <v>243</v>
      </c>
      <c r="C149" s="58">
        <v>226</v>
      </c>
      <c r="D149" s="5">
        <f t="shared" si="59"/>
        <v>0</v>
      </c>
      <c r="E149" s="2"/>
      <c r="F149" s="2"/>
      <c r="G149" s="5">
        <f t="shared" si="69"/>
        <v>0</v>
      </c>
      <c r="H149" s="2"/>
      <c r="I149" s="2"/>
      <c r="J149" s="36"/>
      <c r="K149" s="36"/>
      <c r="L149" s="36"/>
    </row>
    <row r="150" spans="1:12" ht="18.75" x14ac:dyDescent="0.25">
      <c r="A150" s="221"/>
      <c r="B150" s="58">
        <v>244</v>
      </c>
      <c r="C150" s="58">
        <v>226</v>
      </c>
      <c r="D150" s="5">
        <f t="shared" si="59"/>
        <v>0</v>
      </c>
      <c r="E150" s="2"/>
      <c r="F150" s="2"/>
      <c r="G150" s="5">
        <f t="shared" si="69"/>
        <v>0</v>
      </c>
      <c r="H150" s="2"/>
      <c r="I150" s="2"/>
      <c r="J150" s="36"/>
      <c r="K150" s="36"/>
      <c r="L150" s="36"/>
    </row>
    <row r="151" spans="1:12" ht="18.75" x14ac:dyDescent="0.25">
      <c r="A151" s="54" t="s">
        <v>25</v>
      </c>
      <c r="B151" s="58">
        <v>244</v>
      </c>
      <c r="C151" s="58">
        <v>227</v>
      </c>
      <c r="D151" s="5">
        <f>E151+F151</f>
        <v>0</v>
      </c>
      <c r="E151" s="2"/>
      <c r="F151" s="2"/>
      <c r="G151" s="5">
        <f t="shared" si="69"/>
        <v>0</v>
      </c>
      <c r="H151" s="2"/>
      <c r="I151" s="2"/>
      <c r="J151" s="36"/>
      <c r="K151" s="36"/>
      <c r="L151" s="36"/>
    </row>
    <row r="152" spans="1:12" ht="56.25" x14ac:dyDescent="0.25">
      <c r="A152" s="170" t="s">
        <v>345</v>
      </c>
      <c r="B152" s="171">
        <v>244</v>
      </c>
      <c r="C152" s="171">
        <v>228</v>
      </c>
      <c r="D152" s="5">
        <f>E152+F152</f>
        <v>0</v>
      </c>
      <c r="E152" s="2"/>
      <c r="F152" s="2"/>
      <c r="G152" s="5">
        <f t="shared" ref="G152" si="70">H152+I152</f>
        <v>0</v>
      </c>
      <c r="H152" s="2"/>
      <c r="I152" s="2"/>
      <c r="J152" s="36"/>
      <c r="K152" s="36"/>
      <c r="L152" s="36"/>
    </row>
    <row r="153" spans="1:12" ht="18.75" x14ac:dyDescent="0.25">
      <c r="A153" s="54" t="s">
        <v>30</v>
      </c>
      <c r="B153" s="58" t="s">
        <v>5</v>
      </c>
      <c r="C153" s="58">
        <v>290</v>
      </c>
      <c r="D153" s="5">
        <f t="shared" si="59"/>
        <v>0</v>
      </c>
      <c r="E153" s="2">
        <f>E155+E156</f>
        <v>0</v>
      </c>
      <c r="F153" s="2">
        <f>F155+F156</f>
        <v>0</v>
      </c>
      <c r="G153" s="5">
        <f t="shared" si="69"/>
        <v>0</v>
      </c>
      <c r="H153" s="2">
        <f>H155+H156</f>
        <v>0</v>
      </c>
      <c r="I153" s="2">
        <f>I155+I156</f>
        <v>0</v>
      </c>
      <c r="J153" s="36"/>
      <c r="K153" s="36"/>
      <c r="L153" s="36"/>
    </row>
    <row r="154" spans="1:12" ht="18.75" x14ac:dyDescent="0.25">
      <c r="A154" s="54" t="s">
        <v>9</v>
      </c>
      <c r="B154" s="58"/>
      <c r="C154" s="58"/>
      <c r="D154" s="5">
        <f t="shared" si="59"/>
        <v>0</v>
      </c>
      <c r="E154" s="2"/>
      <c r="F154" s="2"/>
      <c r="G154" s="5">
        <f t="shared" si="69"/>
        <v>0</v>
      </c>
      <c r="H154" s="2"/>
      <c r="I154" s="2"/>
      <c r="J154" s="36"/>
      <c r="K154" s="36"/>
      <c r="L154" s="36"/>
    </row>
    <row r="155" spans="1:12" ht="56.25" x14ac:dyDescent="0.25">
      <c r="A155" s="54" t="s">
        <v>34</v>
      </c>
      <c r="B155" s="58">
        <v>244</v>
      </c>
      <c r="C155" s="58">
        <v>296</v>
      </c>
      <c r="D155" s="5">
        <f t="shared" si="59"/>
        <v>0</v>
      </c>
      <c r="E155" s="2"/>
      <c r="F155" s="2"/>
      <c r="G155" s="5">
        <f t="shared" si="69"/>
        <v>0</v>
      </c>
      <c r="H155" s="2"/>
      <c r="I155" s="2"/>
      <c r="J155" s="36"/>
      <c r="K155" s="36"/>
      <c r="L155" s="36"/>
    </row>
    <row r="156" spans="1:12" ht="56.25" x14ac:dyDescent="0.25">
      <c r="A156" s="54" t="s">
        <v>35</v>
      </c>
      <c r="B156" s="58">
        <v>244</v>
      </c>
      <c r="C156" s="58">
        <v>297</v>
      </c>
      <c r="D156" s="5">
        <f t="shared" si="59"/>
        <v>0</v>
      </c>
      <c r="E156" s="2"/>
      <c r="F156" s="2"/>
      <c r="G156" s="5">
        <f t="shared" si="69"/>
        <v>0</v>
      </c>
      <c r="H156" s="2"/>
      <c r="I156" s="2"/>
      <c r="J156" s="36"/>
      <c r="K156" s="36"/>
      <c r="L156" s="36"/>
    </row>
    <row r="157" spans="1:12" ht="56.25" x14ac:dyDescent="0.25">
      <c r="A157" s="54" t="s">
        <v>59</v>
      </c>
      <c r="B157" s="58" t="s">
        <v>5</v>
      </c>
      <c r="C157" s="58">
        <v>300</v>
      </c>
      <c r="D157" s="5">
        <f t="shared" si="59"/>
        <v>0</v>
      </c>
      <c r="E157" s="2">
        <f>E159+E161+E160</f>
        <v>0</v>
      </c>
      <c r="F157" s="2">
        <f>F159+F161+F160</f>
        <v>0</v>
      </c>
      <c r="G157" s="5">
        <f t="shared" si="69"/>
        <v>0</v>
      </c>
      <c r="H157" s="2">
        <f>H159+H161+H160</f>
        <v>0</v>
      </c>
      <c r="I157" s="2">
        <f>I159+I161+I160</f>
        <v>0</v>
      </c>
      <c r="J157" s="36"/>
      <c r="K157" s="36"/>
      <c r="L157" s="36"/>
    </row>
    <row r="158" spans="1:12" ht="18.75" x14ac:dyDescent="0.25">
      <c r="A158" s="54" t="s">
        <v>9</v>
      </c>
      <c r="B158" s="58"/>
      <c r="C158" s="58"/>
      <c r="D158" s="5"/>
      <c r="E158" s="2"/>
      <c r="F158" s="2"/>
      <c r="G158" s="5"/>
      <c r="H158" s="2"/>
      <c r="I158" s="2"/>
      <c r="J158" s="36"/>
      <c r="K158" s="36"/>
      <c r="L158" s="36"/>
    </row>
    <row r="159" spans="1:12" ht="56.25" x14ac:dyDescent="0.25">
      <c r="A159" s="54" t="s">
        <v>36</v>
      </c>
      <c r="B159" s="58">
        <v>244</v>
      </c>
      <c r="C159" s="58">
        <v>310</v>
      </c>
      <c r="D159" s="5">
        <f t="shared" si="59"/>
        <v>0</v>
      </c>
      <c r="E159" s="2"/>
      <c r="F159" s="2"/>
      <c r="G159" s="5">
        <f t="shared" ref="G159:G161" si="71">H159+I159</f>
        <v>0</v>
      </c>
      <c r="H159" s="2"/>
      <c r="I159" s="2"/>
      <c r="J159" s="36"/>
      <c r="K159" s="36"/>
      <c r="L159" s="36"/>
    </row>
    <row r="160" spans="1:12" ht="75" x14ac:dyDescent="0.25">
      <c r="A160" s="54" t="s">
        <v>68</v>
      </c>
      <c r="B160" s="58">
        <v>244</v>
      </c>
      <c r="C160" s="58">
        <v>320</v>
      </c>
      <c r="D160" s="5">
        <f t="shared" si="59"/>
        <v>0</v>
      </c>
      <c r="E160" s="2"/>
      <c r="F160" s="2"/>
      <c r="G160" s="5">
        <f t="shared" si="71"/>
        <v>0</v>
      </c>
      <c r="H160" s="2"/>
      <c r="I160" s="2"/>
      <c r="J160" s="36"/>
      <c r="K160" s="36"/>
      <c r="L160" s="36"/>
    </row>
    <row r="161" spans="1:12" ht="75" x14ac:dyDescent="0.25">
      <c r="A161" s="54" t="s">
        <v>60</v>
      </c>
      <c r="B161" s="58" t="s">
        <v>5</v>
      </c>
      <c r="C161" s="58">
        <v>340</v>
      </c>
      <c r="D161" s="5">
        <f t="shared" si="59"/>
        <v>0</v>
      </c>
      <c r="E161" s="2">
        <f>E163+E164+E165+E166+E167+E168+E169+E170</f>
        <v>0</v>
      </c>
      <c r="F161" s="2">
        <f>F163+F164+F165+F166+F167+F168+F169+F170</f>
        <v>0</v>
      </c>
      <c r="G161" s="5">
        <f t="shared" si="71"/>
        <v>0</v>
      </c>
      <c r="H161" s="2">
        <f>H163+H164+H165+H166+H167+H169+H168+H170</f>
        <v>0</v>
      </c>
      <c r="I161" s="2">
        <f>I163+I164+I165+I166+I167+I169+I168+I170</f>
        <v>0</v>
      </c>
      <c r="J161" s="36"/>
      <c r="K161" s="36"/>
      <c r="L161" s="36"/>
    </row>
    <row r="162" spans="1:12" ht="18.75" x14ac:dyDescent="0.25">
      <c r="A162" s="54" t="s">
        <v>6</v>
      </c>
      <c r="B162" s="58"/>
      <c r="C162" s="58"/>
      <c r="D162" s="5"/>
      <c r="E162" s="2"/>
      <c r="F162" s="2"/>
      <c r="G162" s="5"/>
      <c r="H162" s="2"/>
      <c r="I162" s="2"/>
      <c r="J162" s="36"/>
      <c r="K162" s="36"/>
      <c r="L162" s="36"/>
    </row>
    <row r="163" spans="1:12" ht="131.25" x14ac:dyDescent="0.25">
      <c r="A163" s="54" t="s">
        <v>37</v>
      </c>
      <c r="B163" s="58">
        <v>244</v>
      </c>
      <c r="C163" s="58">
        <v>341</v>
      </c>
      <c r="D163" s="5">
        <f t="shared" ref="D163:D170" si="72">E163+F163</f>
        <v>0</v>
      </c>
      <c r="E163" s="2"/>
      <c r="F163" s="2"/>
      <c r="G163" s="5">
        <f t="shared" ref="G163:G170" si="73">H163+I163</f>
        <v>0</v>
      </c>
      <c r="H163" s="2"/>
      <c r="I163" s="2"/>
      <c r="J163" s="36"/>
      <c r="K163" s="36"/>
      <c r="L163" s="36"/>
    </row>
    <row r="164" spans="1:12" ht="56.25" x14ac:dyDescent="0.25">
      <c r="A164" s="54" t="s">
        <v>38</v>
      </c>
      <c r="B164" s="58">
        <v>244</v>
      </c>
      <c r="C164" s="58">
        <v>342</v>
      </c>
      <c r="D164" s="5">
        <f t="shared" si="72"/>
        <v>0</v>
      </c>
      <c r="E164" s="2"/>
      <c r="F164" s="2"/>
      <c r="G164" s="5">
        <f t="shared" si="73"/>
        <v>0</v>
      </c>
      <c r="H164" s="2"/>
      <c r="I164" s="2"/>
      <c r="J164" s="36"/>
      <c r="K164" s="36"/>
      <c r="L164" s="36"/>
    </row>
    <row r="165" spans="1:12" ht="75" x14ac:dyDescent="0.25">
      <c r="A165" s="54" t="s">
        <v>39</v>
      </c>
      <c r="B165" s="58">
        <v>244</v>
      </c>
      <c r="C165" s="58">
        <v>343</v>
      </c>
      <c r="D165" s="5">
        <f t="shared" si="72"/>
        <v>0</v>
      </c>
      <c r="E165" s="2"/>
      <c r="F165" s="2"/>
      <c r="G165" s="5">
        <f t="shared" si="73"/>
        <v>0</v>
      </c>
      <c r="H165" s="2"/>
      <c r="I165" s="2"/>
      <c r="J165" s="36"/>
      <c r="K165" s="36"/>
      <c r="L165" s="36"/>
    </row>
    <row r="166" spans="1:12" ht="75" x14ac:dyDescent="0.25">
      <c r="A166" s="54" t="s">
        <v>40</v>
      </c>
      <c r="B166" s="58">
        <v>244</v>
      </c>
      <c r="C166" s="58">
        <v>344</v>
      </c>
      <c r="D166" s="5">
        <f t="shared" si="72"/>
        <v>0</v>
      </c>
      <c r="E166" s="2"/>
      <c r="F166" s="2"/>
      <c r="G166" s="5">
        <f t="shared" si="73"/>
        <v>0</v>
      </c>
      <c r="H166" s="2"/>
      <c r="I166" s="2"/>
      <c r="J166" s="36"/>
      <c r="K166" s="36"/>
      <c r="L166" s="36"/>
    </row>
    <row r="167" spans="1:12" ht="56.25" x14ac:dyDescent="0.25">
      <c r="A167" s="54" t="s">
        <v>41</v>
      </c>
      <c r="B167" s="58">
        <v>244</v>
      </c>
      <c r="C167" s="58">
        <v>345</v>
      </c>
      <c r="D167" s="5">
        <f t="shared" si="72"/>
        <v>0</v>
      </c>
      <c r="E167" s="2"/>
      <c r="F167" s="2"/>
      <c r="G167" s="5">
        <f t="shared" si="73"/>
        <v>0</v>
      </c>
      <c r="H167" s="2"/>
      <c r="I167" s="2"/>
      <c r="J167" s="36"/>
      <c r="K167" s="36"/>
      <c r="L167" s="36"/>
    </row>
    <row r="168" spans="1:12" ht="75" x14ac:dyDescent="0.25">
      <c r="A168" s="54" t="s">
        <v>42</v>
      </c>
      <c r="B168" s="58">
        <v>244</v>
      </c>
      <c r="C168" s="58">
        <v>346</v>
      </c>
      <c r="D168" s="5">
        <f t="shared" si="72"/>
        <v>0</v>
      </c>
      <c r="E168" s="2"/>
      <c r="F168" s="2"/>
      <c r="G168" s="5">
        <f t="shared" si="73"/>
        <v>0</v>
      </c>
      <c r="H168" s="2"/>
      <c r="I168" s="2"/>
      <c r="J168" s="36"/>
      <c r="K168" s="36"/>
      <c r="L168" s="36"/>
    </row>
    <row r="169" spans="1:12" ht="112.5" x14ac:dyDescent="0.25">
      <c r="A169" s="170" t="s">
        <v>346</v>
      </c>
      <c r="B169" s="171">
        <v>244</v>
      </c>
      <c r="C169" s="171">
        <v>347</v>
      </c>
      <c r="D169" s="5">
        <f t="shared" ref="D169" si="74">E169+F169</f>
        <v>0</v>
      </c>
      <c r="E169" s="2"/>
      <c r="F169" s="2"/>
      <c r="G169" s="5">
        <f t="shared" ref="G169" si="75">H169+I169</f>
        <v>0</v>
      </c>
      <c r="H169" s="2"/>
      <c r="I169" s="2"/>
      <c r="J169" s="36"/>
      <c r="K169" s="36"/>
      <c r="L169" s="36"/>
    </row>
    <row r="170" spans="1:12" ht="112.5" x14ac:dyDescent="0.25">
      <c r="A170" s="54" t="s">
        <v>43</v>
      </c>
      <c r="B170" s="58">
        <v>244</v>
      </c>
      <c r="C170" s="58">
        <v>349</v>
      </c>
      <c r="D170" s="5">
        <f t="shared" si="72"/>
        <v>0</v>
      </c>
      <c r="E170" s="2"/>
      <c r="F170" s="2"/>
      <c r="G170" s="5">
        <f t="shared" si="73"/>
        <v>0</v>
      </c>
      <c r="H170" s="2"/>
      <c r="I170" s="2"/>
      <c r="J170" s="36"/>
      <c r="K170" s="36"/>
      <c r="L170" s="36"/>
    </row>
    <row r="171" spans="1:12" ht="17.45" customHeight="1" x14ac:dyDescent="0.25">
      <c r="A171" s="322" t="s">
        <v>202</v>
      </c>
      <c r="B171" s="323"/>
      <c r="C171" s="323"/>
      <c r="D171" s="323"/>
      <c r="E171" s="323"/>
      <c r="F171" s="323"/>
      <c r="G171" s="323"/>
      <c r="H171" s="323"/>
      <c r="I171" s="323"/>
      <c r="J171" s="76"/>
      <c r="K171" s="76"/>
      <c r="L171" s="76"/>
    </row>
    <row r="172" spans="1:12" ht="18.75" x14ac:dyDescent="0.25">
      <c r="A172" s="54" t="s">
        <v>8</v>
      </c>
      <c r="B172" s="58" t="s">
        <v>5</v>
      </c>
      <c r="C172" s="58">
        <v>200</v>
      </c>
      <c r="D172" s="5">
        <f t="shared" ref="D172" si="76">E172+F172</f>
        <v>0</v>
      </c>
      <c r="E172" s="2">
        <f>E174+E177+E197</f>
        <v>0</v>
      </c>
      <c r="F172" s="2">
        <f>F174+F177+F197</f>
        <v>0</v>
      </c>
      <c r="G172" s="5">
        <f t="shared" ref="G172" si="77">H172+I172</f>
        <v>0</v>
      </c>
      <c r="H172" s="2">
        <f>H174+H177+H197</f>
        <v>0</v>
      </c>
      <c r="I172" s="2">
        <f>I174+I177+I197</f>
        <v>0</v>
      </c>
      <c r="J172" s="36"/>
      <c r="K172" s="36"/>
      <c r="L172" s="36"/>
    </row>
    <row r="173" spans="1:12" ht="18.75" x14ac:dyDescent="0.25">
      <c r="A173" s="54" t="s">
        <v>9</v>
      </c>
      <c r="B173" s="58"/>
      <c r="C173" s="58"/>
      <c r="D173" s="5"/>
      <c r="E173" s="2"/>
      <c r="F173" s="2"/>
      <c r="G173" s="5"/>
      <c r="H173" s="2"/>
      <c r="I173" s="2"/>
      <c r="J173" s="36"/>
      <c r="K173" s="36"/>
      <c r="L173" s="36"/>
    </row>
    <row r="174" spans="1:12" ht="75" x14ac:dyDescent="0.25">
      <c r="A174" s="54" t="s">
        <v>10</v>
      </c>
      <c r="B174" s="58" t="s">
        <v>5</v>
      </c>
      <c r="C174" s="58">
        <v>210</v>
      </c>
      <c r="D174" s="5">
        <f t="shared" ref="D174" si="78">E174+F174</f>
        <v>0</v>
      </c>
      <c r="E174" s="2">
        <f>E176</f>
        <v>0</v>
      </c>
      <c r="F174" s="2">
        <f>F176</f>
        <v>0</v>
      </c>
      <c r="G174" s="5">
        <f t="shared" ref="G174" si="79">H174+I174</f>
        <v>0</v>
      </c>
      <c r="H174" s="2">
        <f>H176</f>
        <v>0</v>
      </c>
      <c r="I174" s="2">
        <f>I176</f>
        <v>0</v>
      </c>
      <c r="J174" s="36"/>
      <c r="K174" s="36"/>
      <c r="L174" s="36"/>
    </row>
    <row r="175" spans="1:12" ht="18.75" x14ac:dyDescent="0.25">
      <c r="A175" s="54" t="s">
        <v>9</v>
      </c>
      <c r="B175" s="58"/>
      <c r="C175" s="58"/>
      <c r="D175" s="5"/>
      <c r="E175" s="2"/>
      <c r="F175" s="2"/>
      <c r="G175" s="5"/>
      <c r="H175" s="2"/>
      <c r="I175" s="2"/>
      <c r="J175" s="36"/>
      <c r="K175" s="36"/>
      <c r="L175" s="36"/>
    </row>
    <row r="176" spans="1:12" ht="93.75" x14ac:dyDescent="0.25">
      <c r="A176" s="54" t="s">
        <v>201</v>
      </c>
      <c r="B176" s="58">
        <v>244</v>
      </c>
      <c r="C176" s="58">
        <v>214</v>
      </c>
      <c r="D176" s="5">
        <f>E176+F176</f>
        <v>0</v>
      </c>
      <c r="E176" s="70">
        <f>E36-E132</f>
        <v>0</v>
      </c>
      <c r="F176" s="2"/>
      <c r="G176" s="5">
        <f>H176+I176</f>
        <v>0</v>
      </c>
      <c r="H176" s="70">
        <f>H36-H132</f>
        <v>0</v>
      </c>
      <c r="I176" s="2"/>
      <c r="J176" s="36"/>
      <c r="K176" s="36"/>
      <c r="L176" s="36"/>
    </row>
    <row r="177" spans="1:12" ht="37.5" x14ac:dyDescent="0.25">
      <c r="A177" s="54" t="s">
        <v>14</v>
      </c>
      <c r="B177" s="58" t="s">
        <v>5</v>
      </c>
      <c r="C177" s="58">
        <v>220</v>
      </c>
      <c r="D177" s="5">
        <f t="shared" ref="D177" si="80">E177+F177</f>
        <v>0</v>
      </c>
      <c r="E177" s="2">
        <f>E179+E180+E181+E188+E189+E192+E195</f>
        <v>0</v>
      </c>
      <c r="F177" s="2">
        <f>F179+F180+F181+F188+F189+F192+F195</f>
        <v>0</v>
      </c>
      <c r="G177" s="5">
        <f t="shared" ref="G177" si="81">H177+I177</f>
        <v>0</v>
      </c>
      <c r="H177" s="2">
        <f>H179+H180+H181+H188+H189+H192+H195</f>
        <v>0</v>
      </c>
      <c r="I177" s="2">
        <f>I179+I180+I181+I188+I189+I192+I195</f>
        <v>0</v>
      </c>
      <c r="J177" s="36"/>
      <c r="K177" s="36"/>
      <c r="L177" s="36"/>
    </row>
    <row r="178" spans="1:12" ht="18.75" x14ac:dyDescent="0.25">
      <c r="A178" s="54" t="s">
        <v>9</v>
      </c>
      <c r="B178" s="58"/>
      <c r="C178" s="58"/>
      <c r="D178" s="5"/>
      <c r="E178" s="2"/>
      <c r="F178" s="2"/>
      <c r="G178" s="5"/>
      <c r="H178" s="2"/>
      <c r="I178" s="2"/>
      <c r="J178" s="36"/>
      <c r="K178" s="36"/>
      <c r="L178" s="36"/>
    </row>
    <row r="179" spans="1:12" ht="18.75" x14ac:dyDescent="0.25">
      <c r="A179" s="54" t="s">
        <v>15</v>
      </c>
      <c r="B179" s="58">
        <v>244</v>
      </c>
      <c r="C179" s="58">
        <v>221</v>
      </c>
      <c r="D179" s="5">
        <f t="shared" ref="D179:D181" si="82">E179+F179</f>
        <v>0</v>
      </c>
      <c r="E179" s="2">
        <f>E39-E135</f>
        <v>0</v>
      </c>
      <c r="F179" s="2"/>
      <c r="G179" s="5">
        <f t="shared" ref="G179:G181" si="83">H179+I179</f>
        <v>0</v>
      </c>
      <c r="H179" s="2">
        <f>H39-H135</f>
        <v>0</v>
      </c>
      <c r="I179" s="2"/>
      <c r="J179" s="36"/>
      <c r="K179" s="36"/>
      <c r="L179" s="36"/>
    </row>
    <row r="180" spans="1:12" ht="37.5" x14ac:dyDescent="0.25">
      <c r="A180" s="54" t="s">
        <v>16</v>
      </c>
      <c r="B180" s="58">
        <v>244</v>
      </c>
      <c r="C180" s="58">
        <v>222</v>
      </c>
      <c r="D180" s="5">
        <f t="shared" si="82"/>
        <v>0</v>
      </c>
      <c r="E180" s="70">
        <f>E42-E136</f>
        <v>0</v>
      </c>
      <c r="F180" s="2"/>
      <c r="G180" s="5">
        <f t="shared" si="83"/>
        <v>0</v>
      </c>
      <c r="H180" s="70">
        <f>H42-H136</f>
        <v>0</v>
      </c>
      <c r="I180" s="2"/>
      <c r="J180" s="36"/>
      <c r="K180" s="36"/>
      <c r="L180" s="36"/>
    </row>
    <row r="181" spans="1:12" ht="37.5" x14ac:dyDescent="0.25">
      <c r="A181" s="54" t="s">
        <v>17</v>
      </c>
      <c r="B181" s="58" t="s">
        <v>5</v>
      </c>
      <c r="C181" s="58">
        <v>223</v>
      </c>
      <c r="D181" s="5">
        <f t="shared" si="82"/>
        <v>0</v>
      </c>
      <c r="E181" s="2">
        <f t="shared" ref="E181:F181" si="84">E183+E184+E185+E186+E187</f>
        <v>0</v>
      </c>
      <c r="F181" s="2">
        <f t="shared" si="84"/>
        <v>0</v>
      </c>
      <c r="G181" s="5">
        <f t="shared" si="83"/>
        <v>0</v>
      </c>
      <c r="H181" s="2">
        <f t="shared" ref="H181:I181" si="85">H183+H184+H185+H186+H187</f>
        <v>0</v>
      </c>
      <c r="I181" s="2">
        <f t="shared" si="85"/>
        <v>0</v>
      </c>
      <c r="J181" s="36"/>
      <c r="K181" s="36"/>
      <c r="L181" s="36"/>
    </row>
    <row r="182" spans="1:12" ht="18.75" x14ac:dyDescent="0.25">
      <c r="A182" s="54" t="s">
        <v>6</v>
      </c>
      <c r="B182" s="58"/>
      <c r="C182" s="58"/>
      <c r="D182" s="5"/>
      <c r="E182" s="2"/>
      <c r="F182" s="2"/>
      <c r="G182" s="5"/>
      <c r="H182" s="2"/>
      <c r="I182" s="2"/>
      <c r="J182" s="36"/>
      <c r="K182" s="36"/>
      <c r="L182" s="36"/>
    </row>
    <row r="183" spans="1:12" ht="56.25" x14ac:dyDescent="0.25">
      <c r="A183" s="54" t="s">
        <v>18</v>
      </c>
      <c r="B183" s="58">
        <v>244</v>
      </c>
      <c r="C183" s="58">
        <v>223</v>
      </c>
      <c r="D183" s="5">
        <f t="shared" ref="D183:D188" si="86">E183+F183</f>
        <v>0</v>
      </c>
      <c r="E183" s="2">
        <f>E45-E139</f>
        <v>0</v>
      </c>
      <c r="F183" s="2"/>
      <c r="G183" s="5">
        <f t="shared" ref="G183:G188" si="87">H183+I183</f>
        <v>0</v>
      </c>
      <c r="H183" s="2">
        <f>H45-H139</f>
        <v>0</v>
      </c>
      <c r="I183" s="2"/>
      <c r="J183" s="36"/>
      <c r="K183" s="36"/>
      <c r="L183" s="36"/>
    </row>
    <row r="184" spans="1:12" ht="37.5" x14ac:dyDescent="0.25">
      <c r="A184" s="54" t="s">
        <v>19</v>
      </c>
      <c r="B184" s="58">
        <v>244</v>
      </c>
      <c r="C184" s="58">
        <v>223</v>
      </c>
      <c r="D184" s="5">
        <f t="shared" si="86"/>
        <v>0</v>
      </c>
      <c r="E184" s="2">
        <f>E46-E140</f>
        <v>0</v>
      </c>
      <c r="F184" s="2"/>
      <c r="G184" s="5">
        <f t="shared" si="87"/>
        <v>0</v>
      </c>
      <c r="H184" s="2">
        <f>H46-H140</f>
        <v>0</v>
      </c>
      <c r="I184" s="2"/>
      <c r="J184" s="36"/>
      <c r="K184" s="36"/>
      <c r="L184" s="36"/>
    </row>
    <row r="185" spans="1:12" ht="75" x14ac:dyDescent="0.25">
      <c r="A185" s="54" t="s">
        <v>20</v>
      </c>
      <c r="B185" s="58">
        <v>244</v>
      </c>
      <c r="C185" s="58">
        <v>223</v>
      </c>
      <c r="D185" s="5">
        <f t="shared" si="86"/>
        <v>0</v>
      </c>
      <c r="E185" s="2">
        <f>E47-E141</f>
        <v>0</v>
      </c>
      <c r="F185" s="2"/>
      <c r="G185" s="5">
        <f t="shared" si="87"/>
        <v>0</v>
      </c>
      <c r="H185" s="2">
        <f>H47-H141</f>
        <v>0</v>
      </c>
      <c r="I185" s="2"/>
      <c r="J185" s="36"/>
      <c r="K185" s="36"/>
      <c r="L185" s="36"/>
    </row>
    <row r="186" spans="1:12" ht="75" x14ac:dyDescent="0.25">
      <c r="A186" s="54" t="s">
        <v>21</v>
      </c>
      <c r="B186" s="58">
        <v>244</v>
      </c>
      <c r="C186" s="58">
        <v>223</v>
      </c>
      <c r="D186" s="5">
        <f t="shared" si="86"/>
        <v>0</v>
      </c>
      <c r="E186" s="2">
        <f>E48-E142</f>
        <v>0</v>
      </c>
      <c r="F186" s="2"/>
      <c r="G186" s="5">
        <f t="shared" si="87"/>
        <v>0</v>
      </c>
      <c r="H186" s="2">
        <f>H48-H142</f>
        <v>0</v>
      </c>
      <c r="I186" s="2"/>
      <c r="J186" s="36"/>
      <c r="K186" s="36"/>
      <c r="L186" s="36"/>
    </row>
    <row r="187" spans="1:12" ht="56.25" x14ac:dyDescent="0.25">
      <c r="A187" s="54" t="s">
        <v>22</v>
      </c>
      <c r="B187" s="58">
        <v>244</v>
      </c>
      <c r="C187" s="58">
        <v>223</v>
      </c>
      <c r="D187" s="5">
        <f t="shared" si="86"/>
        <v>0</v>
      </c>
      <c r="E187" s="2">
        <f>E49-E143</f>
        <v>0</v>
      </c>
      <c r="F187" s="2"/>
      <c r="G187" s="5">
        <f t="shared" si="87"/>
        <v>0</v>
      </c>
      <c r="H187" s="2">
        <f>H49-H143</f>
        <v>0</v>
      </c>
      <c r="I187" s="2"/>
      <c r="J187" s="36"/>
      <c r="K187" s="36"/>
      <c r="L187" s="36"/>
    </row>
    <row r="188" spans="1:12" ht="168.75" x14ac:dyDescent="0.25">
      <c r="A188" s="54" t="s">
        <v>23</v>
      </c>
      <c r="B188" s="58">
        <v>244</v>
      </c>
      <c r="C188" s="58">
        <v>224</v>
      </c>
      <c r="D188" s="5">
        <f t="shared" si="86"/>
        <v>0</v>
      </c>
      <c r="E188" s="2">
        <f>E50-E144</f>
        <v>0</v>
      </c>
      <c r="F188" s="2"/>
      <c r="G188" s="5">
        <f t="shared" si="87"/>
        <v>0</v>
      </c>
      <c r="H188" s="2">
        <f>H50-H144</f>
        <v>0</v>
      </c>
      <c r="I188" s="2"/>
      <c r="J188" s="36"/>
      <c r="K188" s="36"/>
      <c r="L188" s="36"/>
    </row>
    <row r="189" spans="1:12" ht="56.25" x14ac:dyDescent="0.25">
      <c r="A189" s="54" t="s">
        <v>24</v>
      </c>
      <c r="B189" s="58" t="s">
        <v>5</v>
      </c>
      <c r="C189" s="58">
        <v>225</v>
      </c>
      <c r="D189" s="2">
        <f t="shared" ref="D189" si="88">D190+D191</f>
        <v>0</v>
      </c>
      <c r="E189" s="2">
        <f>E190+E191</f>
        <v>0</v>
      </c>
      <c r="F189" s="2">
        <f t="shared" ref="F189:G189" si="89">F190+F191</f>
        <v>0</v>
      </c>
      <c r="G189" s="2">
        <f t="shared" si="89"/>
        <v>0</v>
      </c>
      <c r="H189" s="2">
        <f>H190+H191</f>
        <v>0</v>
      </c>
      <c r="I189" s="2">
        <f t="shared" ref="I189" si="90">I190+I191</f>
        <v>0</v>
      </c>
      <c r="J189" s="36"/>
      <c r="K189" s="36"/>
      <c r="L189" s="36"/>
    </row>
    <row r="190" spans="1:12" ht="18.75" x14ac:dyDescent="0.25">
      <c r="A190" s="221" t="s">
        <v>6</v>
      </c>
      <c r="B190" s="58">
        <v>243</v>
      </c>
      <c r="C190" s="58">
        <v>225</v>
      </c>
      <c r="D190" s="5">
        <f t="shared" ref="D190:D201" si="91">E190+F190</f>
        <v>0</v>
      </c>
      <c r="E190" s="2">
        <f>E52-E146</f>
        <v>0</v>
      </c>
      <c r="F190" s="2"/>
      <c r="G190" s="5">
        <f t="shared" ref="G190:G201" si="92">H190+I190</f>
        <v>0</v>
      </c>
      <c r="H190" s="2">
        <f>H52-H146</f>
        <v>0</v>
      </c>
      <c r="I190" s="2"/>
      <c r="J190" s="36"/>
      <c r="K190" s="36"/>
      <c r="L190" s="36"/>
    </row>
    <row r="191" spans="1:12" ht="18.75" x14ac:dyDescent="0.25">
      <c r="A191" s="221"/>
      <c r="B191" s="58">
        <v>244</v>
      </c>
      <c r="C191" s="58">
        <v>225</v>
      </c>
      <c r="D191" s="5">
        <f t="shared" si="91"/>
        <v>0</v>
      </c>
      <c r="E191" s="2">
        <f>E53-E147</f>
        <v>0</v>
      </c>
      <c r="F191" s="2"/>
      <c r="G191" s="5">
        <f t="shared" si="92"/>
        <v>0</v>
      </c>
      <c r="H191" s="2">
        <f>H53-H147</f>
        <v>0</v>
      </c>
      <c r="I191" s="2"/>
      <c r="J191" s="36"/>
      <c r="K191" s="36"/>
      <c r="L191" s="36"/>
    </row>
    <row r="192" spans="1:12" ht="37.5" x14ac:dyDescent="0.25">
      <c r="A192" s="54" t="s">
        <v>58</v>
      </c>
      <c r="B192" s="58" t="s">
        <v>5</v>
      </c>
      <c r="C192" s="58">
        <v>226</v>
      </c>
      <c r="D192" s="5">
        <f t="shared" si="91"/>
        <v>0</v>
      </c>
      <c r="E192" s="2">
        <f>E193+E194</f>
        <v>0</v>
      </c>
      <c r="F192" s="2">
        <f>F193+F194</f>
        <v>0</v>
      </c>
      <c r="G192" s="5">
        <f t="shared" si="92"/>
        <v>0</v>
      </c>
      <c r="H192" s="2">
        <f>H193+H194</f>
        <v>0</v>
      </c>
      <c r="I192" s="2">
        <f>I193+I194</f>
        <v>0</v>
      </c>
      <c r="J192" s="36"/>
      <c r="K192" s="36"/>
      <c r="L192" s="36"/>
    </row>
    <row r="193" spans="1:12" ht="18.75" x14ac:dyDescent="0.25">
      <c r="A193" s="221" t="s">
        <v>6</v>
      </c>
      <c r="B193" s="58">
        <v>243</v>
      </c>
      <c r="C193" s="58">
        <v>226</v>
      </c>
      <c r="D193" s="5">
        <f t="shared" si="91"/>
        <v>0</v>
      </c>
      <c r="E193" s="2">
        <f>E58-E149</f>
        <v>0</v>
      </c>
      <c r="F193" s="2"/>
      <c r="G193" s="5">
        <f t="shared" si="92"/>
        <v>0</v>
      </c>
      <c r="H193" s="2">
        <f>H58-H149</f>
        <v>0</v>
      </c>
      <c r="I193" s="2"/>
      <c r="J193" s="36"/>
      <c r="K193" s="36"/>
      <c r="L193" s="36"/>
    </row>
    <row r="194" spans="1:12" ht="18.75" x14ac:dyDescent="0.25">
      <c r="A194" s="221"/>
      <c r="B194" s="58">
        <v>244</v>
      </c>
      <c r="C194" s="58">
        <v>226</v>
      </c>
      <c r="D194" s="5">
        <f t="shared" si="91"/>
        <v>0</v>
      </c>
      <c r="E194" s="2">
        <f>E59-E150</f>
        <v>0</v>
      </c>
      <c r="F194" s="2"/>
      <c r="G194" s="5">
        <f t="shared" si="92"/>
        <v>0</v>
      </c>
      <c r="H194" s="2">
        <f>H59-H150</f>
        <v>0</v>
      </c>
      <c r="I194" s="2"/>
      <c r="J194" s="36"/>
      <c r="K194" s="36"/>
      <c r="L194" s="36"/>
    </row>
    <row r="195" spans="1:12" ht="18.75" x14ac:dyDescent="0.25">
      <c r="A195" s="54" t="s">
        <v>25</v>
      </c>
      <c r="B195" s="58">
        <v>244</v>
      </c>
      <c r="C195" s="58">
        <v>227</v>
      </c>
      <c r="D195" s="5">
        <f t="shared" si="91"/>
        <v>0</v>
      </c>
      <c r="E195" s="2">
        <f>E60-E151</f>
        <v>0</v>
      </c>
      <c r="F195" s="2"/>
      <c r="G195" s="5">
        <f t="shared" si="92"/>
        <v>0</v>
      </c>
      <c r="H195" s="2">
        <f>H60-H151</f>
        <v>0</v>
      </c>
      <c r="I195" s="2"/>
      <c r="J195" s="36"/>
      <c r="K195" s="36"/>
      <c r="L195" s="36"/>
    </row>
    <row r="196" spans="1:12" ht="56.25" x14ac:dyDescent="0.25">
      <c r="A196" s="170" t="s">
        <v>345</v>
      </c>
      <c r="B196" s="171">
        <v>244</v>
      </c>
      <c r="C196" s="171">
        <v>228</v>
      </c>
      <c r="D196" s="5">
        <f t="shared" ref="D196" si="93">E196+F196</f>
        <v>0</v>
      </c>
      <c r="E196" s="2">
        <f>E61-E152</f>
        <v>0</v>
      </c>
      <c r="F196" s="2"/>
      <c r="G196" s="5">
        <f t="shared" ref="G196" si="94">H196+I196</f>
        <v>0</v>
      </c>
      <c r="H196" s="2">
        <f>H61-H152</f>
        <v>0</v>
      </c>
      <c r="I196" s="2"/>
      <c r="J196" s="36"/>
      <c r="K196" s="36"/>
      <c r="L196" s="36"/>
    </row>
    <row r="197" spans="1:12" ht="18.75" x14ac:dyDescent="0.25">
      <c r="A197" s="54" t="s">
        <v>30</v>
      </c>
      <c r="B197" s="58" t="s">
        <v>5</v>
      </c>
      <c r="C197" s="58">
        <v>290</v>
      </c>
      <c r="D197" s="5">
        <f t="shared" si="91"/>
        <v>0</v>
      </c>
      <c r="E197" s="2">
        <f>E199+E200</f>
        <v>0</v>
      </c>
      <c r="F197" s="2">
        <f>F199+F200</f>
        <v>0</v>
      </c>
      <c r="G197" s="5">
        <f t="shared" si="92"/>
        <v>0</v>
      </c>
      <c r="H197" s="2">
        <f>H199+H200</f>
        <v>0</v>
      </c>
      <c r="I197" s="2">
        <f>I199+I200</f>
        <v>0</v>
      </c>
      <c r="J197" s="36"/>
      <c r="K197" s="36"/>
      <c r="L197" s="36"/>
    </row>
    <row r="198" spans="1:12" ht="18.75" x14ac:dyDescent="0.25">
      <c r="A198" s="54" t="s">
        <v>9</v>
      </c>
      <c r="B198" s="58"/>
      <c r="C198" s="58"/>
      <c r="D198" s="5">
        <f t="shared" si="91"/>
        <v>0</v>
      </c>
      <c r="E198" s="2"/>
      <c r="F198" s="2"/>
      <c r="G198" s="5">
        <f t="shared" si="92"/>
        <v>0</v>
      </c>
      <c r="H198" s="2"/>
      <c r="I198" s="2"/>
      <c r="J198" s="36"/>
      <c r="K198" s="36"/>
      <c r="L198" s="36"/>
    </row>
    <row r="199" spans="1:12" ht="56.25" x14ac:dyDescent="0.25">
      <c r="A199" s="54" t="s">
        <v>34</v>
      </c>
      <c r="B199" s="58">
        <v>244</v>
      </c>
      <c r="C199" s="58">
        <v>296</v>
      </c>
      <c r="D199" s="5">
        <f t="shared" si="91"/>
        <v>0</v>
      </c>
      <c r="E199" s="2">
        <f>E81-E155</f>
        <v>0</v>
      </c>
      <c r="F199" s="2"/>
      <c r="G199" s="5">
        <f t="shared" si="92"/>
        <v>0</v>
      </c>
      <c r="H199" s="2">
        <f>H81-H155</f>
        <v>0</v>
      </c>
      <c r="I199" s="2"/>
      <c r="J199" s="36"/>
      <c r="K199" s="36"/>
      <c r="L199" s="36"/>
    </row>
    <row r="200" spans="1:12" ht="56.25" x14ac:dyDescent="0.25">
      <c r="A200" s="54" t="s">
        <v>35</v>
      </c>
      <c r="B200" s="58">
        <v>244</v>
      </c>
      <c r="C200" s="58">
        <v>297</v>
      </c>
      <c r="D200" s="5">
        <f t="shared" si="91"/>
        <v>0</v>
      </c>
      <c r="E200" s="2">
        <f>E88-E156</f>
        <v>0</v>
      </c>
      <c r="F200" s="2"/>
      <c r="G200" s="5">
        <f t="shared" si="92"/>
        <v>0</v>
      </c>
      <c r="H200" s="2">
        <f>H88-H156</f>
        <v>0</v>
      </c>
      <c r="I200" s="2"/>
      <c r="J200" s="36"/>
      <c r="K200" s="36"/>
      <c r="L200" s="36"/>
    </row>
    <row r="201" spans="1:12" ht="56.25" x14ac:dyDescent="0.25">
      <c r="A201" s="54" t="s">
        <v>59</v>
      </c>
      <c r="B201" s="58" t="s">
        <v>5</v>
      </c>
      <c r="C201" s="58">
        <v>300</v>
      </c>
      <c r="D201" s="5">
        <f t="shared" si="91"/>
        <v>0</v>
      </c>
      <c r="E201" s="2">
        <f>E203+E205+E204</f>
        <v>0</v>
      </c>
      <c r="F201" s="2">
        <f>F203+F205+F204</f>
        <v>0</v>
      </c>
      <c r="G201" s="5">
        <f t="shared" si="92"/>
        <v>0</v>
      </c>
      <c r="H201" s="2">
        <f>H203+H205+H204</f>
        <v>0</v>
      </c>
      <c r="I201" s="2">
        <f>I203+I205+I204</f>
        <v>0</v>
      </c>
      <c r="J201" s="36"/>
      <c r="K201" s="36"/>
      <c r="L201" s="36"/>
    </row>
    <row r="202" spans="1:12" ht="18.75" x14ac:dyDescent="0.25">
      <c r="A202" s="54" t="s">
        <v>9</v>
      </c>
      <c r="B202" s="58"/>
      <c r="C202" s="58"/>
      <c r="D202" s="5"/>
      <c r="E202" s="2"/>
      <c r="F202" s="2"/>
      <c r="G202" s="5"/>
      <c r="H202" s="2"/>
      <c r="I202" s="2"/>
      <c r="J202" s="36"/>
      <c r="K202" s="36"/>
      <c r="L202" s="36"/>
    </row>
    <row r="203" spans="1:12" ht="56.25" x14ac:dyDescent="0.25">
      <c r="A203" s="54" t="s">
        <v>36</v>
      </c>
      <c r="B203" s="58">
        <v>244</v>
      </c>
      <c r="C203" s="58">
        <v>310</v>
      </c>
      <c r="D203" s="5">
        <f t="shared" ref="D203:D205" si="95">E203+F203</f>
        <v>0</v>
      </c>
      <c r="E203" s="2">
        <f>E94-E159</f>
        <v>0</v>
      </c>
      <c r="F203" s="2"/>
      <c r="G203" s="5">
        <f t="shared" ref="G203:G205" si="96">H203+I203</f>
        <v>0</v>
      </c>
      <c r="H203" s="2">
        <f>H94-H159</f>
        <v>0</v>
      </c>
      <c r="I203" s="2"/>
      <c r="J203" s="36"/>
      <c r="K203" s="36"/>
      <c r="L203" s="36"/>
    </row>
    <row r="204" spans="1:12" ht="75" x14ac:dyDescent="0.25">
      <c r="A204" s="54" t="s">
        <v>68</v>
      </c>
      <c r="B204" s="58">
        <v>244</v>
      </c>
      <c r="C204" s="58">
        <v>320</v>
      </c>
      <c r="D204" s="5">
        <f t="shared" si="95"/>
        <v>0</v>
      </c>
      <c r="E204" s="2">
        <f>E95-E160</f>
        <v>0</v>
      </c>
      <c r="F204" s="2"/>
      <c r="G204" s="5">
        <f t="shared" si="96"/>
        <v>0</v>
      </c>
      <c r="H204" s="2">
        <f>H95-H160</f>
        <v>0</v>
      </c>
      <c r="I204" s="2"/>
      <c r="J204" s="36"/>
      <c r="K204" s="36"/>
      <c r="L204" s="36"/>
    </row>
    <row r="205" spans="1:12" ht="75" x14ac:dyDescent="0.25">
      <c r="A205" s="54" t="s">
        <v>60</v>
      </c>
      <c r="B205" s="58" t="s">
        <v>5</v>
      </c>
      <c r="C205" s="58">
        <v>340</v>
      </c>
      <c r="D205" s="5">
        <f t="shared" si="95"/>
        <v>0</v>
      </c>
      <c r="E205" s="2">
        <f>E207+E208+E209+E210+E211+E212+E214</f>
        <v>0</v>
      </c>
      <c r="F205" s="2">
        <f>F207+F208+F209+F210+F211+F212+F214</f>
        <v>0</v>
      </c>
      <c r="G205" s="5">
        <f t="shared" si="96"/>
        <v>0</v>
      </c>
      <c r="H205" s="2">
        <f>H207+H208+H209+H210+H211+H212+H214</f>
        <v>0</v>
      </c>
      <c r="I205" s="2">
        <f>I207+I208+I209+I210+I211+I212+I214</f>
        <v>0</v>
      </c>
      <c r="J205" s="36"/>
      <c r="K205" s="36"/>
      <c r="L205" s="36"/>
    </row>
    <row r="206" spans="1:12" ht="18.75" x14ac:dyDescent="0.25">
      <c r="A206" s="54" t="s">
        <v>6</v>
      </c>
      <c r="B206" s="58"/>
      <c r="C206" s="58"/>
      <c r="D206" s="5"/>
      <c r="E206" s="2"/>
      <c r="F206" s="2"/>
      <c r="G206" s="5"/>
      <c r="H206" s="2"/>
      <c r="I206" s="2"/>
      <c r="J206" s="36"/>
      <c r="K206" s="36"/>
      <c r="L206" s="36"/>
    </row>
    <row r="207" spans="1:12" ht="131.25" x14ac:dyDescent="0.25">
      <c r="A207" s="54" t="s">
        <v>37</v>
      </c>
      <c r="B207" s="58">
        <v>244</v>
      </c>
      <c r="C207" s="58">
        <v>341</v>
      </c>
      <c r="D207" s="5">
        <f t="shared" ref="D207:D214" si="97">E207+F207</f>
        <v>0</v>
      </c>
      <c r="E207" s="2">
        <f t="shared" ref="E207:E213" si="98">E98-E163</f>
        <v>0</v>
      </c>
      <c r="F207" s="2"/>
      <c r="G207" s="5">
        <f t="shared" ref="G207:G214" si="99">H207+I207</f>
        <v>0</v>
      </c>
      <c r="H207" s="2">
        <f t="shared" ref="H207:H213" si="100">H98-H163</f>
        <v>0</v>
      </c>
      <c r="I207" s="2"/>
      <c r="J207" s="36"/>
      <c r="K207" s="36"/>
      <c r="L207" s="36"/>
    </row>
    <row r="208" spans="1:12" ht="56.25" x14ac:dyDescent="0.25">
      <c r="A208" s="54" t="s">
        <v>38</v>
      </c>
      <c r="B208" s="58">
        <v>244</v>
      </c>
      <c r="C208" s="58">
        <v>342</v>
      </c>
      <c r="D208" s="5">
        <f t="shared" si="97"/>
        <v>0</v>
      </c>
      <c r="E208" s="2">
        <f t="shared" si="98"/>
        <v>0</v>
      </c>
      <c r="F208" s="2"/>
      <c r="G208" s="5">
        <f t="shared" si="99"/>
        <v>0</v>
      </c>
      <c r="H208" s="2">
        <f t="shared" si="100"/>
        <v>0</v>
      </c>
      <c r="I208" s="2"/>
      <c r="J208" s="36"/>
      <c r="K208" s="36"/>
      <c r="L208" s="36"/>
    </row>
    <row r="209" spans="1:12" ht="75" x14ac:dyDescent="0.25">
      <c r="A209" s="54" t="s">
        <v>39</v>
      </c>
      <c r="B209" s="58">
        <v>244</v>
      </c>
      <c r="C209" s="58">
        <v>343</v>
      </c>
      <c r="D209" s="5">
        <f t="shared" si="97"/>
        <v>0</v>
      </c>
      <c r="E209" s="2">
        <f t="shared" si="98"/>
        <v>0</v>
      </c>
      <c r="F209" s="2"/>
      <c r="G209" s="5">
        <f t="shared" si="99"/>
        <v>0</v>
      </c>
      <c r="H209" s="2">
        <f t="shared" si="100"/>
        <v>0</v>
      </c>
      <c r="I209" s="2"/>
      <c r="J209" s="36"/>
      <c r="K209" s="36"/>
      <c r="L209" s="36"/>
    </row>
    <row r="210" spans="1:12" ht="75" x14ac:dyDescent="0.25">
      <c r="A210" s="54" t="s">
        <v>40</v>
      </c>
      <c r="B210" s="58">
        <v>244</v>
      </c>
      <c r="C210" s="58">
        <v>344</v>
      </c>
      <c r="D210" s="5">
        <f t="shared" si="97"/>
        <v>0</v>
      </c>
      <c r="E210" s="2">
        <f t="shared" si="98"/>
        <v>0</v>
      </c>
      <c r="F210" s="2"/>
      <c r="G210" s="5">
        <f t="shared" si="99"/>
        <v>0</v>
      </c>
      <c r="H210" s="2">
        <f t="shared" si="100"/>
        <v>0</v>
      </c>
      <c r="I210" s="2"/>
      <c r="J210" s="36"/>
      <c r="K210" s="36"/>
      <c r="L210" s="36"/>
    </row>
    <row r="211" spans="1:12" ht="56.25" x14ac:dyDescent="0.25">
      <c r="A211" s="54" t="s">
        <v>41</v>
      </c>
      <c r="B211" s="58">
        <v>244</v>
      </c>
      <c r="C211" s="58">
        <v>345</v>
      </c>
      <c r="D211" s="5">
        <f t="shared" si="97"/>
        <v>0</v>
      </c>
      <c r="E211" s="2">
        <f t="shared" si="98"/>
        <v>0</v>
      </c>
      <c r="F211" s="2"/>
      <c r="G211" s="5">
        <f t="shared" si="99"/>
        <v>0</v>
      </c>
      <c r="H211" s="2">
        <f t="shared" si="100"/>
        <v>0</v>
      </c>
      <c r="I211" s="2"/>
      <c r="J211" s="36"/>
      <c r="K211" s="36"/>
      <c r="L211" s="36"/>
    </row>
    <row r="212" spans="1:12" ht="75" x14ac:dyDescent="0.25">
      <c r="A212" s="54" t="s">
        <v>42</v>
      </c>
      <c r="B212" s="58">
        <v>244</v>
      </c>
      <c r="C212" s="58">
        <v>346</v>
      </c>
      <c r="D212" s="5">
        <f t="shared" si="97"/>
        <v>0</v>
      </c>
      <c r="E212" s="2">
        <f t="shared" si="98"/>
        <v>0</v>
      </c>
      <c r="F212" s="2"/>
      <c r="G212" s="5">
        <f t="shared" si="99"/>
        <v>0</v>
      </c>
      <c r="H212" s="2">
        <f t="shared" si="100"/>
        <v>0</v>
      </c>
      <c r="I212" s="2"/>
      <c r="J212" s="36"/>
      <c r="K212" s="36"/>
      <c r="L212" s="36"/>
    </row>
    <row r="213" spans="1:12" ht="112.5" x14ac:dyDescent="0.25">
      <c r="A213" s="170" t="s">
        <v>346</v>
      </c>
      <c r="B213" s="171">
        <v>244</v>
      </c>
      <c r="C213" s="171">
        <v>347</v>
      </c>
      <c r="D213" s="5">
        <f t="shared" ref="D213" si="101">E213+F213</f>
        <v>0</v>
      </c>
      <c r="E213" s="2">
        <f t="shared" si="98"/>
        <v>0</v>
      </c>
      <c r="F213" s="2"/>
      <c r="G213" s="5">
        <f t="shared" ref="G213" si="102">H213+I213</f>
        <v>0</v>
      </c>
      <c r="H213" s="2">
        <f t="shared" si="100"/>
        <v>0</v>
      </c>
      <c r="I213" s="2"/>
      <c r="J213" s="36"/>
      <c r="K213" s="36"/>
      <c r="L213" s="36"/>
    </row>
    <row r="214" spans="1:12" ht="112.5" x14ac:dyDescent="0.25">
      <c r="A214" s="54" t="s">
        <v>43</v>
      </c>
      <c r="B214" s="58">
        <v>244</v>
      </c>
      <c r="C214" s="58">
        <v>349</v>
      </c>
      <c r="D214" s="5">
        <f t="shared" si="97"/>
        <v>0</v>
      </c>
      <c r="E214" s="2">
        <f t="shared" ref="E214" si="103">E105-E170</f>
        <v>0</v>
      </c>
      <c r="F214" s="2"/>
      <c r="G214" s="5">
        <f t="shared" si="99"/>
        <v>0</v>
      </c>
      <c r="H214" s="2">
        <f t="shared" ref="H214" si="104">H105-H170</f>
        <v>0</v>
      </c>
      <c r="I214" s="2"/>
      <c r="J214" s="36"/>
      <c r="K214" s="36"/>
      <c r="L214" s="36"/>
    </row>
  </sheetData>
  <mergeCells count="39">
    <mergeCell ref="A35:A36"/>
    <mergeCell ref="A41:A42"/>
    <mergeCell ref="A52:A53"/>
    <mergeCell ref="A1:I1"/>
    <mergeCell ref="A2:I2"/>
    <mergeCell ref="A5:A6"/>
    <mergeCell ref="B5:B6"/>
    <mergeCell ref="C5:C6"/>
    <mergeCell ref="D5:D6"/>
    <mergeCell ref="H5:I5"/>
    <mergeCell ref="G5:G6"/>
    <mergeCell ref="E5:F5"/>
    <mergeCell ref="A55:A59"/>
    <mergeCell ref="A67:A68"/>
    <mergeCell ref="N123:P123"/>
    <mergeCell ref="A123:I123"/>
    <mergeCell ref="K123:M123"/>
    <mergeCell ref="A122:B122"/>
    <mergeCell ref="B117:C117"/>
    <mergeCell ref="E117:F117"/>
    <mergeCell ref="B119:C119"/>
    <mergeCell ref="E119:F119"/>
    <mergeCell ref="B120:C120"/>
    <mergeCell ref="E120:F120"/>
    <mergeCell ref="A74:A76"/>
    <mergeCell ref="A81:A86"/>
    <mergeCell ref="A88:A91"/>
    <mergeCell ref="A193:A194"/>
    <mergeCell ref="B113:C113"/>
    <mergeCell ref="E113:F113"/>
    <mergeCell ref="B114:C114"/>
    <mergeCell ref="E114:F114"/>
    <mergeCell ref="A127:I127"/>
    <mergeCell ref="A146:A147"/>
    <mergeCell ref="A149:A150"/>
    <mergeCell ref="A171:I171"/>
    <mergeCell ref="A190:A191"/>
    <mergeCell ref="B116:C116"/>
    <mergeCell ref="E116:F116"/>
  </mergeCells>
  <pageMargins left="0.78740157480314965" right="0.78740157480314965" top="1.3779527559055118" bottom="0.39370078740157483" header="0.31496062992125984" footer="0.31496062992125984"/>
  <pageSetup paperSize="9" scale="61" orientation="landscape" r:id="rId1"/>
  <rowBreaks count="1" manualBreakCount="1">
    <brk id="102" max="8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06"/>
  <sheetViews>
    <sheetView view="pageBreakPreview" zoomScale="60" zoomScaleNormal="100" workbookViewId="0">
      <selection activeCell="B69" sqref="B69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9" width="18.5703125" style="7" customWidth="1"/>
    <col min="10" max="16384" width="8.85546875" style="7"/>
  </cols>
  <sheetData>
    <row r="1" spans="1:9" ht="18.75" x14ac:dyDescent="0.25">
      <c r="A1" s="237" t="s">
        <v>268</v>
      </c>
      <c r="B1" s="237"/>
      <c r="C1" s="237"/>
      <c r="D1" s="237"/>
      <c r="E1" s="237"/>
      <c r="F1" s="237"/>
      <c r="G1" s="237"/>
      <c r="H1" s="237"/>
      <c r="I1" s="237"/>
    </row>
    <row r="2" spans="1:9" ht="18.75" x14ac:dyDescent="0.25">
      <c r="A2" s="237" t="s">
        <v>74</v>
      </c>
      <c r="B2" s="237"/>
      <c r="C2" s="237"/>
      <c r="D2" s="237"/>
      <c r="E2" s="237"/>
      <c r="F2" s="237"/>
      <c r="G2" s="237"/>
      <c r="H2" s="237"/>
      <c r="I2" s="237"/>
    </row>
    <row r="3" spans="1:9" x14ac:dyDescent="0.25">
      <c r="A3" s="30"/>
    </row>
    <row r="4" spans="1:9" ht="19.5" thickBot="1" x14ac:dyDescent="0.3">
      <c r="A4" s="6"/>
      <c r="F4" s="6" t="s">
        <v>51</v>
      </c>
      <c r="G4" s="6"/>
    </row>
    <row r="5" spans="1:9" ht="30.6" customHeight="1" x14ac:dyDescent="0.25">
      <c r="A5" s="229" t="s">
        <v>0</v>
      </c>
      <c r="B5" s="231" t="s">
        <v>45</v>
      </c>
      <c r="C5" s="233" t="s">
        <v>46</v>
      </c>
      <c r="D5" s="231" t="s">
        <v>1</v>
      </c>
      <c r="E5" s="231" t="s">
        <v>73</v>
      </c>
      <c r="F5" s="231"/>
      <c r="G5" s="231" t="s">
        <v>1</v>
      </c>
      <c r="H5" s="231" t="s">
        <v>73</v>
      </c>
      <c r="I5" s="231"/>
    </row>
    <row r="6" spans="1:9" ht="15.75" x14ac:dyDescent="0.25">
      <c r="A6" s="330"/>
      <c r="B6" s="331"/>
      <c r="C6" s="332"/>
      <c r="D6" s="331"/>
      <c r="E6" s="331" t="s">
        <v>6</v>
      </c>
      <c r="F6" s="331"/>
      <c r="G6" s="331"/>
      <c r="H6" s="331" t="s">
        <v>6</v>
      </c>
      <c r="I6" s="331"/>
    </row>
    <row r="7" spans="1:9" ht="212.45" customHeight="1" thickBot="1" x14ac:dyDescent="0.3">
      <c r="A7" s="230"/>
      <c r="B7" s="232"/>
      <c r="C7" s="234"/>
      <c r="D7" s="232"/>
      <c r="E7" s="117" t="s">
        <v>198</v>
      </c>
      <c r="F7" s="117" t="s">
        <v>199</v>
      </c>
      <c r="G7" s="232"/>
      <c r="H7" s="117" t="s">
        <v>198</v>
      </c>
      <c r="I7" s="38" t="s">
        <v>199</v>
      </c>
    </row>
    <row r="8" spans="1:9" ht="19.5" thickBot="1" x14ac:dyDescent="0.3">
      <c r="A8" s="92">
        <v>1</v>
      </c>
      <c r="B8" s="93">
        <v>2</v>
      </c>
      <c r="C8" s="93">
        <v>3</v>
      </c>
      <c r="D8" s="93">
        <v>4</v>
      </c>
      <c r="E8" s="93">
        <v>5</v>
      </c>
      <c r="F8" s="93">
        <v>6</v>
      </c>
      <c r="G8" s="93">
        <v>7</v>
      </c>
      <c r="H8" s="93">
        <v>8</v>
      </c>
      <c r="I8" s="94">
        <v>9</v>
      </c>
    </row>
    <row r="9" spans="1:9" ht="37.5" x14ac:dyDescent="0.25">
      <c r="A9" s="95" t="s">
        <v>235</v>
      </c>
      <c r="B9" s="96" t="s">
        <v>5</v>
      </c>
      <c r="C9" s="96" t="s">
        <v>5</v>
      </c>
      <c r="D9" s="97">
        <f t="shared" ref="D9:D10" si="0">E9+F9</f>
        <v>0</v>
      </c>
      <c r="E9" s="98"/>
      <c r="F9" s="98"/>
      <c r="G9" s="97">
        <f t="shared" ref="G9:G10" si="1">H9+I9</f>
        <v>0</v>
      </c>
      <c r="H9" s="98"/>
      <c r="I9" s="99"/>
    </row>
    <row r="10" spans="1:9" ht="18.75" x14ac:dyDescent="0.25">
      <c r="A10" s="115" t="s">
        <v>7</v>
      </c>
      <c r="B10" s="119" t="s">
        <v>5</v>
      </c>
      <c r="C10" s="119">
        <v>900</v>
      </c>
      <c r="D10" s="5">
        <f t="shared" si="0"/>
        <v>0</v>
      </c>
      <c r="E10" s="2">
        <f>E13+E41+E55+E83</f>
        <v>0</v>
      </c>
      <c r="F10" s="2">
        <f>F13+F41+F55+F83</f>
        <v>0</v>
      </c>
      <c r="G10" s="5">
        <f t="shared" si="1"/>
        <v>0</v>
      </c>
      <c r="H10" s="2">
        <f>H13+H41+H55+H83</f>
        <v>0</v>
      </c>
      <c r="I10" s="2">
        <f>I13+I41+I55+I83</f>
        <v>0</v>
      </c>
    </row>
    <row r="11" spans="1:9" ht="18.75" x14ac:dyDescent="0.25">
      <c r="A11" s="115" t="s">
        <v>6</v>
      </c>
      <c r="B11" s="119"/>
      <c r="C11" s="119"/>
      <c r="D11" s="5"/>
      <c r="E11" s="2"/>
      <c r="F11" s="2"/>
      <c r="G11" s="5"/>
      <c r="H11" s="2"/>
      <c r="I11" s="4"/>
    </row>
    <row r="12" spans="1:9" ht="33.6" customHeight="1" x14ac:dyDescent="0.25">
      <c r="A12" s="327" t="s">
        <v>200</v>
      </c>
      <c r="B12" s="328"/>
      <c r="C12" s="328"/>
      <c r="D12" s="328"/>
      <c r="E12" s="328"/>
      <c r="F12" s="328"/>
      <c r="G12" s="328"/>
      <c r="H12" s="328"/>
      <c r="I12" s="329"/>
    </row>
    <row r="13" spans="1:9" ht="18.75" x14ac:dyDescent="0.25">
      <c r="A13" s="115" t="s">
        <v>8</v>
      </c>
      <c r="B13" s="119" t="s">
        <v>5</v>
      </c>
      <c r="C13" s="119">
        <v>200</v>
      </c>
      <c r="D13" s="5">
        <f t="shared" ref="D13:D45" si="2">E13+F13</f>
        <v>0</v>
      </c>
      <c r="E13" s="2">
        <f>E15+E18+E37</f>
        <v>0</v>
      </c>
      <c r="F13" s="2">
        <f>F15+F18+F37</f>
        <v>0</v>
      </c>
      <c r="G13" s="5">
        <f t="shared" ref="G13" si="3">H13+I13</f>
        <v>0</v>
      </c>
      <c r="H13" s="2">
        <f>H15+H18+H37</f>
        <v>0</v>
      </c>
      <c r="I13" s="4">
        <f>I15+I18+I37</f>
        <v>0</v>
      </c>
    </row>
    <row r="14" spans="1:9" ht="14.45" customHeight="1" x14ac:dyDescent="0.25">
      <c r="A14" s="115" t="s">
        <v>9</v>
      </c>
      <c r="B14" s="119"/>
      <c r="C14" s="119"/>
      <c r="D14" s="5"/>
      <c r="E14" s="2"/>
      <c r="F14" s="2"/>
      <c r="G14" s="5"/>
      <c r="H14" s="2"/>
      <c r="I14" s="4"/>
    </row>
    <row r="15" spans="1:9" ht="75" x14ac:dyDescent="0.25">
      <c r="A15" s="115" t="s">
        <v>10</v>
      </c>
      <c r="B15" s="119" t="s">
        <v>5</v>
      </c>
      <c r="C15" s="119">
        <v>210</v>
      </c>
      <c r="D15" s="5">
        <f t="shared" si="2"/>
        <v>0</v>
      </c>
      <c r="E15" s="2">
        <f>E17</f>
        <v>0</v>
      </c>
      <c r="F15" s="2">
        <f>F17</f>
        <v>0</v>
      </c>
      <c r="G15" s="5">
        <f t="shared" ref="G15" si="4">H15+I15</f>
        <v>0</v>
      </c>
      <c r="H15" s="2">
        <f>H17</f>
        <v>0</v>
      </c>
      <c r="I15" s="4">
        <f>I17</f>
        <v>0</v>
      </c>
    </row>
    <row r="16" spans="1:9" ht="18.75" x14ac:dyDescent="0.25">
      <c r="A16" s="115" t="s">
        <v>9</v>
      </c>
      <c r="B16" s="119"/>
      <c r="C16" s="119"/>
      <c r="D16" s="5"/>
      <c r="E16" s="2"/>
      <c r="F16" s="2"/>
      <c r="G16" s="5"/>
      <c r="H16" s="2"/>
      <c r="I16" s="4"/>
    </row>
    <row r="17" spans="1:9" ht="93.75" x14ac:dyDescent="0.25">
      <c r="A17" s="115" t="s">
        <v>201</v>
      </c>
      <c r="B17" s="119">
        <v>244</v>
      </c>
      <c r="C17" s="119">
        <v>214</v>
      </c>
      <c r="D17" s="5">
        <f>E17+F17</f>
        <v>0</v>
      </c>
      <c r="E17" s="2">
        <f>'платные на 2022-2023 год'!E132</f>
        <v>0</v>
      </c>
      <c r="F17" s="2">
        <f>'платные на 2022-2023 год'!F132</f>
        <v>0</v>
      </c>
      <c r="G17" s="5">
        <f>H17+I17</f>
        <v>0</v>
      </c>
      <c r="H17" s="2">
        <f>'платные на 2022-2023 год'!H132</f>
        <v>0</v>
      </c>
      <c r="I17" s="2">
        <f>'платные на 2022-2023 год'!I132</f>
        <v>0</v>
      </c>
    </row>
    <row r="18" spans="1:9" ht="37.5" x14ac:dyDescent="0.25">
      <c r="A18" s="115" t="s">
        <v>14</v>
      </c>
      <c r="B18" s="119" t="s">
        <v>5</v>
      </c>
      <c r="C18" s="119">
        <v>220</v>
      </c>
      <c r="D18" s="5">
        <f t="shared" si="2"/>
        <v>0</v>
      </c>
      <c r="E18" s="2">
        <f>E20+E21+E22+E29+E30+E33+E36</f>
        <v>0</v>
      </c>
      <c r="F18" s="2">
        <f>F20+F21+F22+F29+F30+F33+F36</f>
        <v>0</v>
      </c>
      <c r="G18" s="5">
        <f t="shared" ref="G18" si="5">H18+I18</f>
        <v>0</v>
      </c>
      <c r="H18" s="2">
        <f>H20+H21+H22+H29+H30+H33+H36</f>
        <v>0</v>
      </c>
      <c r="I18" s="4">
        <f>I20+I21+I22+I29+I30+I33+I36</f>
        <v>0</v>
      </c>
    </row>
    <row r="19" spans="1:9" ht="18.75" x14ac:dyDescent="0.25">
      <c r="A19" s="115" t="s">
        <v>9</v>
      </c>
      <c r="B19" s="119"/>
      <c r="C19" s="119"/>
      <c r="D19" s="5"/>
      <c r="E19" s="2"/>
      <c r="F19" s="2"/>
      <c r="G19" s="5"/>
      <c r="H19" s="2"/>
      <c r="I19" s="4"/>
    </row>
    <row r="20" spans="1:9" ht="18.75" x14ac:dyDescent="0.25">
      <c r="A20" s="115" t="s">
        <v>15</v>
      </c>
      <c r="B20" s="119">
        <v>244</v>
      </c>
      <c r="C20" s="119">
        <v>221</v>
      </c>
      <c r="D20" s="5">
        <f t="shared" si="2"/>
        <v>0</v>
      </c>
      <c r="E20" s="2">
        <f>'платные на 2022-2023 год'!E135</f>
        <v>0</v>
      </c>
      <c r="F20" s="2">
        <f>'платные на 2022-2023 год'!F135</f>
        <v>0</v>
      </c>
      <c r="G20" s="5">
        <f t="shared" ref="G20:G22" si="6">H20+I20</f>
        <v>0</v>
      </c>
      <c r="H20" s="2">
        <f>'платные на 2022-2023 год'!H135</f>
        <v>0</v>
      </c>
      <c r="I20" s="2">
        <f>'платные на 2022-2023 год'!I135</f>
        <v>0</v>
      </c>
    </row>
    <row r="21" spans="1:9" ht="37.5" x14ac:dyDescent="0.25">
      <c r="A21" s="115" t="s">
        <v>16</v>
      </c>
      <c r="B21" s="119">
        <v>244</v>
      </c>
      <c r="C21" s="119">
        <v>222</v>
      </c>
      <c r="D21" s="5">
        <f t="shared" si="2"/>
        <v>0</v>
      </c>
      <c r="E21" s="2">
        <f>'платные на 2022-2023 год'!E136</f>
        <v>0</v>
      </c>
      <c r="F21" s="2">
        <f>'платные на 2022-2023 год'!F136</f>
        <v>0</v>
      </c>
      <c r="G21" s="5">
        <f t="shared" si="6"/>
        <v>0</v>
      </c>
      <c r="H21" s="2">
        <f>'платные на 2022-2023 год'!H136</f>
        <v>0</v>
      </c>
      <c r="I21" s="2">
        <f>'платные на 2022-2023 год'!I136</f>
        <v>0</v>
      </c>
    </row>
    <row r="22" spans="1:9" ht="37.5" x14ac:dyDescent="0.25">
      <c r="A22" s="115" t="s">
        <v>17</v>
      </c>
      <c r="B22" s="119" t="s">
        <v>5</v>
      </c>
      <c r="C22" s="119">
        <v>223</v>
      </c>
      <c r="D22" s="5">
        <f t="shared" si="2"/>
        <v>0</v>
      </c>
      <c r="E22" s="2">
        <f t="shared" ref="E22:F22" si="7">E24+E25+E26+E27+E28</f>
        <v>0</v>
      </c>
      <c r="F22" s="2">
        <f t="shared" si="7"/>
        <v>0</v>
      </c>
      <c r="G22" s="5">
        <f t="shared" si="6"/>
        <v>0</v>
      </c>
      <c r="H22" s="2">
        <f t="shared" ref="H22:I22" si="8">H24+H25+H26+H27+H28</f>
        <v>0</v>
      </c>
      <c r="I22" s="4">
        <f t="shared" si="8"/>
        <v>0</v>
      </c>
    </row>
    <row r="23" spans="1:9" ht="18.75" x14ac:dyDescent="0.25">
      <c r="A23" s="115" t="s">
        <v>6</v>
      </c>
      <c r="B23" s="119"/>
      <c r="C23" s="119"/>
      <c r="D23" s="5"/>
      <c r="E23" s="2"/>
      <c r="F23" s="2"/>
      <c r="G23" s="5"/>
      <c r="H23" s="2"/>
      <c r="I23" s="4"/>
    </row>
    <row r="24" spans="1:9" ht="56.25" x14ac:dyDescent="0.25">
      <c r="A24" s="115" t="s">
        <v>18</v>
      </c>
      <c r="B24" s="119">
        <v>247</v>
      </c>
      <c r="C24" s="119">
        <v>223</v>
      </c>
      <c r="D24" s="5">
        <f t="shared" si="2"/>
        <v>0</v>
      </c>
      <c r="E24" s="2">
        <f>'платные на 2022-2023 год'!E139</f>
        <v>0</v>
      </c>
      <c r="F24" s="2">
        <f>'платные на 2022-2023 год'!F139</f>
        <v>0</v>
      </c>
      <c r="G24" s="5">
        <f t="shared" ref="G24:G29" si="9">H24+I24</f>
        <v>0</v>
      </c>
      <c r="H24" s="2">
        <f>'платные на 2022-2023 год'!H139</f>
        <v>0</v>
      </c>
      <c r="I24" s="2">
        <f>'платные на 2022-2023 год'!I139</f>
        <v>0</v>
      </c>
    </row>
    <row r="25" spans="1:9" ht="37.5" x14ac:dyDescent="0.25">
      <c r="A25" s="115" t="s">
        <v>19</v>
      </c>
      <c r="B25" s="119">
        <v>247</v>
      </c>
      <c r="C25" s="119">
        <v>223</v>
      </c>
      <c r="D25" s="5">
        <f t="shared" si="2"/>
        <v>0</v>
      </c>
      <c r="E25" s="2">
        <f>'платные на 2022-2023 год'!E140</f>
        <v>0</v>
      </c>
      <c r="F25" s="2">
        <f>'платные на 2022-2023 год'!F140</f>
        <v>0</v>
      </c>
      <c r="G25" s="5">
        <f t="shared" si="9"/>
        <v>0</v>
      </c>
      <c r="H25" s="2">
        <f>'платные на 2022-2023 год'!H140</f>
        <v>0</v>
      </c>
      <c r="I25" s="2">
        <f>'платные на 2022-2023 год'!I140</f>
        <v>0</v>
      </c>
    </row>
    <row r="26" spans="1:9" ht="65.45" customHeight="1" x14ac:dyDescent="0.25">
      <c r="A26" s="115" t="s">
        <v>20</v>
      </c>
      <c r="B26" s="119">
        <v>247</v>
      </c>
      <c r="C26" s="119">
        <v>223</v>
      </c>
      <c r="D26" s="5">
        <f t="shared" si="2"/>
        <v>0</v>
      </c>
      <c r="E26" s="2">
        <f>'платные на 2022-2023 год'!E141</f>
        <v>0</v>
      </c>
      <c r="F26" s="2">
        <f>'платные на 2022-2023 год'!F141</f>
        <v>0</v>
      </c>
      <c r="G26" s="5">
        <f t="shared" si="9"/>
        <v>0</v>
      </c>
      <c r="H26" s="2">
        <f>'платные на 2022-2023 год'!H141</f>
        <v>0</v>
      </c>
      <c r="I26" s="2">
        <f>'платные на 2022-2023 год'!I141</f>
        <v>0</v>
      </c>
    </row>
    <row r="27" spans="1:9" ht="75" x14ac:dyDescent="0.25">
      <c r="A27" s="115" t="s">
        <v>21</v>
      </c>
      <c r="B27" s="119">
        <v>244</v>
      </c>
      <c r="C27" s="119">
        <v>223</v>
      </c>
      <c r="D27" s="5">
        <f t="shared" si="2"/>
        <v>0</v>
      </c>
      <c r="E27" s="2">
        <f>'платные на 2022-2023 год'!E142</f>
        <v>0</v>
      </c>
      <c r="F27" s="2">
        <f>'платные на 2022-2023 год'!F142</f>
        <v>0</v>
      </c>
      <c r="G27" s="5">
        <f t="shared" si="9"/>
        <v>0</v>
      </c>
      <c r="H27" s="2">
        <f>'платные на 2022-2023 год'!H142</f>
        <v>0</v>
      </c>
      <c r="I27" s="2">
        <f>'платные на 2022-2023 год'!I142</f>
        <v>0</v>
      </c>
    </row>
    <row r="28" spans="1:9" ht="56.25" x14ac:dyDescent="0.25">
      <c r="A28" s="115" t="s">
        <v>22</v>
      </c>
      <c r="B28" s="119">
        <v>244</v>
      </c>
      <c r="C28" s="119">
        <v>223</v>
      </c>
      <c r="D28" s="5">
        <f t="shared" si="2"/>
        <v>0</v>
      </c>
      <c r="E28" s="2">
        <f>'платные на 2022-2023 год'!E143</f>
        <v>0</v>
      </c>
      <c r="F28" s="2">
        <f>'платные на 2022-2023 год'!F143</f>
        <v>0</v>
      </c>
      <c r="G28" s="5">
        <f t="shared" si="9"/>
        <v>0</v>
      </c>
      <c r="H28" s="2">
        <f>'платные на 2022-2023 год'!H143</f>
        <v>0</v>
      </c>
      <c r="I28" s="2">
        <f>'платные на 2022-2023 год'!I143</f>
        <v>0</v>
      </c>
    </row>
    <row r="29" spans="1:9" ht="168.75" x14ac:dyDescent="0.25">
      <c r="A29" s="115" t="s">
        <v>23</v>
      </c>
      <c r="B29" s="119">
        <v>244</v>
      </c>
      <c r="C29" s="119">
        <v>224</v>
      </c>
      <c r="D29" s="5">
        <f t="shared" si="2"/>
        <v>0</v>
      </c>
      <c r="E29" s="2">
        <f>'платные на 2022-2023 год'!E144</f>
        <v>0</v>
      </c>
      <c r="F29" s="2">
        <f>'платные на 2022-2023 год'!F144</f>
        <v>0</v>
      </c>
      <c r="G29" s="5">
        <f t="shared" si="9"/>
        <v>0</v>
      </c>
      <c r="H29" s="2">
        <f>'платные на 2022-2023 год'!H144</f>
        <v>0</v>
      </c>
      <c r="I29" s="2">
        <f>'платные на 2022-2023 год'!I144</f>
        <v>0</v>
      </c>
    </row>
    <row r="30" spans="1:9" ht="56.25" x14ac:dyDescent="0.25">
      <c r="A30" s="115" t="s">
        <v>24</v>
      </c>
      <c r="B30" s="119" t="s">
        <v>5</v>
      </c>
      <c r="C30" s="119">
        <v>225</v>
      </c>
      <c r="D30" s="2">
        <f t="shared" ref="D30:G30" si="10">D31+D32</f>
        <v>0</v>
      </c>
      <c r="E30" s="2">
        <f>E31+E32</f>
        <v>0</v>
      </c>
      <c r="F30" s="2">
        <f t="shared" si="10"/>
        <v>0</v>
      </c>
      <c r="G30" s="2">
        <f t="shared" si="10"/>
        <v>0</v>
      </c>
      <c r="H30" s="2">
        <f>H31+H32</f>
        <v>0</v>
      </c>
      <c r="I30" s="4">
        <f t="shared" ref="I30" si="11">I31+I32</f>
        <v>0</v>
      </c>
    </row>
    <row r="31" spans="1:9" ht="18.75" x14ac:dyDescent="0.25">
      <c r="A31" s="221" t="s">
        <v>6</v>
      </c>
      <c r="B31" s="119">
        <v>243</v>
      </c>
      <c r="C31" s="119">
        <v>225</v>
      </c>
      <c r="D31" s="5">
        <f t="shared" si="2"/>
        <v>0</v>
      </c>
      <c r="E31" s="2">
        <f>'платные на 2022-2023 год'!E146</f>
        <v>0</v>
      </c>
      <c r="F31" s="2">
        <f>'платные на 2022-2023 год'!F146</f>
        <v>0</v>
      </c>
      <c r="G31" s="5">
        <f t="shared" ref="G31:G41" si="12">H31+I31</f>
        <v>0</v>
      </c>
      <c r="H31" s="2">
        <f>'платные на 2022-2023 год'!H146</f>
        <v>0</v>
      </c>
      <c r="I31" s="2">
        <f>'платные на 2022-2023 год'!I146</f>
        <v>0</v>
      </c>
    </row>
    <row r="32" spans="1:9" ht="18.75" x14ac:dyDescent="0.25">
      <c r="A32" s="221"/>
      <c r="B32" s="119">
        <v>244</v>
      </c>
      <c r="C32" s="119">
        <v>225</v>
      </c>
      <c r="D32" s="5">
        <f t="shared" si="2"/>
        <v>0</v>
      </c>
      <c r="E32" s="2">
        <f>'платные на 2022-2023 год'!E147</f>
        <v>0</v>
      </c>
      <c r="F32" s="2">
        <f>'платные на 2022-2023 год'!F147</f>
        <v>0</v>
      </c>
      <c r="G32" s="5">
        <f t="shared" si="12"/>
        <v>0</v>
      </c>
      <c r="H32" s="2">
        <f>'платные на 2022-2023 год'!H147</f>
        <v>0</v>
      </c>
      <c r="I32" s="2">
        <f>'платные на 2022-2023 год'!I147</f>
        <v>0</v>
      </c>
    </row>
    <row r="33" spans="1:9" ht="37.5" x14ac:dyDescent="0.25">
      <c r="A33" s="115" t="s">
        <v>58</v>
      </c>
      <c r="B33" s="119" t="s">
        <v>5</v>
      </c>
      <c r="C33" s="119">
        <v>226</v>
      </c>
      <c r="D33" s="5">
        <f t="shared" si="2"/>
        <v>0</v>
      </c>
      <c r="E33" s="2">
        <f>E34+E35</f>
        <v>0</v>
      </c>
      <c r="F33" s="2">
        <f>F34+F35</f>
        <v>0</v>
      </c>
      <c r="G33" s="5">
        <f t="shared" si="12"/>
        <v>0</v>
      </c>
      <c r="H33" s="2">
        <f>H34+H35</f>
        <v>0</v>
      </c>
      <c r="I33" s="4">
        <f>I34+I35</f>
        <v>0</v>
      </c>
    </row>
    <row r="34" spans="1:9" ht="18.75" x14ac:dyDescent="0.25">
      <c r="A34" s="221" t="s">
        <v>6</v>
      </c>
      <c r="B34" s="119">
        <v>243</v>
      </c>
      <c r="C34" s="119">
        <v>226</v>
      </c>
      <c r="D34" s="5">
        <f t="shared" si="2"/>
        <v>0</v>
      </c>
      <c r="E34" s="2">
        <f>'платные на 2022-2023 год'!E149</f>
        <v>0</v>
      </c>
      <c r="F34" s="2">
        <f>'платные на 2022-2023 год'!F149</f>
        <v>0</v>
      </c>
      <c r="G34" s="5">
        <f t="shared" si="12"/>
        <v>0</v>
      </c>
      <c r="H34" s="2">
        <f>'платные на 2022-2023 год'!H149</f>
        <v>0</v>
      </c>
      <c r="I34" s="2">
        <f>'платные на 2022-2023 год'!I149</f>
        <v>0</v>
      </c>
    </row>
    <row r="35" spans="1:9" ht="18.75" x14ac:dyDescent="0.25">
      <c r="A35" s="221"/>
      <c r="B35" s="119">
        <v>244</v>
      </c>
      <c r="C35" s="119">
        <v>226</v>
      </c>
      <c r="D35" s="5">
        <f t="shared" si="2"/>
        <v>0</v>
      </c>
      <c r="E35" s="2">
        <f>'платные на 2022-2023 год'!E150</f>
        <v>0</v>
      </c>
      <c r="F35" s="2">
        <f>'платные на 2022-2023 год'!F150</f>
        <v>0</v>
      </c>
      <c r="G35" s="5">
        <f t="shared" si="12"/>
        <v>0</v>
      </c>
      <c r="H35" s="2">
        <f>'платные на 2022-2023 год'!H150</f>
        <v>0</v>
      </c>
      <c r="I35" s="2">
        <f>'платные на 2022-2023 год'!I150</f>
        <v>0</v>
      </c>
    </row>
    <row r="36" spans="1:9" ht="18.75" x14ac:dyDescent="0.25">
      <c r="A36" s="115" t="s">
        <v>25</v>
      </c>
      <c r="B36" s="119">
        <v>244</v>
      </c>
      <c r="C36" s="119">
        <v>227</v>
      </c>
      <c r="D36" s="5">
        <f t="shared" si="2"/>
        <v>0</v>
      </c>
      <c r="E36" s="2">
        <f>'платные на 2022-2023 год'!E151</f>
        <v>0</v>
      </c>
      <c r="F36" s="2">
        <f>'платные на 2022-2023 год'!F151</f>
        <v>0</v>
      </c>
      <c r="G36" s="5">
        <f t="shared" si="12"/>
        <v>0</v>
      </c>
      <c r="H36" s="2">
        <f>'платные на 2022-2023 год'!H151</f>
        <v>0</v>
      </c>
      <c r="I36" s="2">
        <f>'платные на 2022-2023 год'!I151</f>
        <v>0</v>
      </c>
    </row>
    <row r="37" spans="1:9" ht="18.75" x14ac:dyDescent="0.25">
      <c r="A37" s="115" t="s">
        <v>30</v>
      </c>
      <c r="B37" s="119" t="s">
        <v>5</v>
      </c>
      <c r="C37" s="119">
        <v>290</v>
      </c>
      <c r="D37" s="5">
        <f t="shared" si="2"/>
        <v>0</v>
      </c>
      <c r="E37" s="2">
        <f>E39+E40</f>
        <v>0</v>
      </c>
      <c r="F37" s="2">
        <f>F39+F40</f>
        <v>0</v>
      </c>
      <c r="G37" s="5">
        <f t="shared" si="12"/>
        <v>0</v>
      </c>
      <c r="H37" s="2">
        <f>H39+H40</f>
        <v>0</v>
      </c>
      <c r="I37" s="4">
        <f>I39+I40</f>
        <v>0</v>
      </c>
    </row>
    <row r="38" spans="1:9" ht="18.75" x14ac:dyDescent="0.25">
      <c r="A38" s="115" t="s">
        <v>9</v>
      </c>
      <c r="B38" s="119"/>
      <c r="C38" s="119"/>
      <c r="D38" s="5">
        <f t="shared" si="2"/>
        <v>0</v>
      </c>
      <c r="E38" s="2"/>
      <c r="F38" s="2"/>
      <c r="G38" s="5">
        <f t="shared" si="12"/>
        <v>0</v>
      </c>
      <c r="H38" s="2"/>
      <c r="I38" s="4"/>
    </row>
    <row r="39" spans="1:9" ht="56.25" x14ac:dyDescent="0.25">
      <c r="A39" s="115" t="s">
        <v>34</v>
      </c>
      <c r="B39" s="119">
        <v>244</v>
      </c>
      <c r="C39" s="119">
        <v>296</v>
      </c>
      <c r="D39" s="5">
        <f t="shared" si="2"/>
        <v>0</v>
      </c>
      <c r="E39" s="2">
        <f>'платные на 2022-2023 год'!E155</f>
        <v>0</v>
      </c>
      <c r="F39" s="2">
        <f>'платные на 2022-2023 год'!F155</f>
        <v>0</v>
      </c>
      <c r="G39" s="5">
        <f t="shared" si="12"/>
        <v>0</v>
      </c>
      <c r="H39" s="2">
        <f>'платные на 2022-2023 год'!H155</f>
        <v>0</v>
      </c>
      <c r="I39" s="2">
        <f>'платные на 2022-2023 год'!I155</f>
        <v>0</v>
      </c>
    </row>
    <row r="40" spans="1:9" ht="56.25" x14ac:dyDescent="0.25">
      <c r="A40" s="115" t="s">
        <v>35</v>
      </c>
      <c r="B40" s="119">
        <v>244</v>
      </c>
      <c r="C40" s="119">
        <v>297</v>
      </c>
      <c r="D40" s="5">
        <f t="shared" si="2"/>
        <v>0</v>
      </c>
      <c r="E40" s="2">
        <f>'платные на 2022-2023 год'!E156</f>
        <v>0</v>
      </c>
      <c r="F40" s="2">
        <f>'платные на 2022-2023 год'!F156</f>
        <v>0</v>
      </c>
      <c r="G40" s="5">
        <f t="shared" si="12"/>
        <v>0</v>
      </c>
      <c r="H40" s="2">
        <f>'платные на 2022-2023 год'!H156</f>
        <v>0</v>
      </c>
      <c r="I40" s="2">
        <f>'платные на 2022-2023 год'!I156</f>
        <v>0</v>
      </c>
    </row>
    <row r="41" spans="1:9" ht="56.25" x14ac:dyDescent="0.25">
      <c r="A41" s="115" t="s">
        <v>59</v>
      </c>
      <c r="B41" s="119" t="s">
        <v>5</v>
      </c>
      <c r="C41" s="119">
        <v>300</v>
      </c>
      <c r="D41" s="5">
        <f t="shared" si="2"/>
        <v>0</v>
      </c>
      <c r="E41" s="2">
        <f>E43+E45+E44</f>
        <v>0</v>
      </c>
      <c r="F41" s="2">
        <f>F43+F45+F44</f>
        <v>0</v>
      </c>
      <c r="G41" s="5">
        <f t="shared" si="12"/>
        <v>0</v>
      </c>
      <c r="H41" s="2">
        <f>H43+H45+H44</f>
        <v>0</v>
      </c>
      <c r="I41" s="4">
        <f>I43+I45+I44</f>
        <v>0</v>
      </c>
    </row>
    <row r="42" spans="1:9" ht="18.75" x14ac:dyDescent="0.25">
      <c r="A42" s="115" t="s">
        <v>9</v>
      </c>
      <c r="B42" s="119"/>
      <c r="C42" s="119"/>
      <c r="D42" s="5"/>
      <c r="E42" s="2"/>
      <c r="F42" s="2"/>
      <c r="G42" s="5"/>
      <c r="H42" s="2"/>
      <c r="I42" s="4"/>
    </row>
    <row r="43" spans="1:9" ht="14.45" customHeight="1" x14ac:dyDescent="0.25">
      <c r="A43" s="115" t="s">
        <v>36</v>
      </c>
      <c r="B43" s="119">
        <v>244</v>
      </c>
      <c r="C43" s="119">
        <v>310</v>
      </c>
      <c r="D43" s="5">
        <f t="shared" si="2"/>
        <v>0</v>
      </c>
      <c r="E43" s="2">
        <f>'платные на 2022-2023 год'!E159</f>
        <v>0</v>
      </c>
      <c r="F43" s="2">
        <f>'платные на 2022-2023 год'!F159</f>
        <v>0</v>
      </c>
      <c r="G43" s="5">
        <f t="shared" ref="G43:G45" si="13">H43+I43</f>
        <v>0</v>
      </c>
      <c r="H43" s="2">
        <f>'платные на 2022-2023 год'!H159</f>
        <v>0</v>
      </c>
      <c r="I43" s="2">
        <f>'платные на 2022-2023 год'!I159</f>
        <v>0</v>
      </c>
    </row>
    <row r="44" spans="1:9" ht="75" x14ac:dyDescent="0.25">
      <c r="A44" s="115" t="s">
        <v>68</v>
      </c>
      <c r="B44" s="119">
        <v>244</v>
      </c>
      <c r="C44" s="119">
        <v>320</v>
      </c>
      <c r="D44" s="5">
        <f t="shared" si="2"/>
        <v>0</v>
      </c>
      <c r="E44" s="2">
        <f>'платные на 2022-2023 год'!E160</f>
        <v>0</v>
      </c>
      <c r="F44" s="2">
        <f>'платные на 2022-2023 год'!F160</f>
        <v>0</v>
      </c>
      <c r="G44" s="5">
        <f t="shared" si="13"/>
        <v>0</v>
      </c>
      <c r="H44" s="2">
        <f>'платные на 2022-2023 год'!H160</f>
        <v>0</v>
      </c>
      <c r="I44" s="2">
        <f>'платные на 2022-2023 год'!I160</f>
        <v>0</v>
      </c>
    </row>
    <row r="45" spans="1:9" ht="75" x14ac:dyDescent="0.25">
      <c r="A45" s="115" t="s">
        <v>60</v>
      </c>
      <c r="B45" s="119" t="s">
        <v>5</v>
      </c>
      <c r="C45" s="119">
        <v>340</v>
      </c>
      <c r="D45" s="5">
        <f t="shared" si="2"/>
        <v>0</v>
      </c>
      <c r="E45" s="2">
        <f>E47+E48+E49+E50+E51+E52+E53</f>
        <v>0</v>
      </c>
      <c r="F45" s="2">
        <f>F47+F48+F49+F50+F51+F52+F53</f>
        <v>0</v>
      </c>
      <c r="G45" s="5">
        <f t="shared" si="13"/>
        <v>0</v>
      </c>
      <c r="H45" s="2">
        <f>H47+H48+H49+H50+H51+H52+H53</f>
        <v>0</v>
      </c>
      <c r="I45" s="4">
        <f>I47+I48+I49+I50+I51+I52+I53</f>
        <v>0</v>
      </c>
    </row>
    <row r="46" spans="1:9" ht="18.75" x14ac:dyDescent="0.25">
      <c r="A46" s="115" t="s">
        <v>6</v>
      </c>
      <c r="B46" s="119"/>
      <c r="C46" s="119"/>
      <c r="D46" s="5"/>
      <c r="E46" s="2"/>
      <c r="F46" s="2"/>
      <c r="G46" s="5"/>
      <c r="H46" s="2"/>
      <c r="I46" s="4"/>
    </row>
    <row r="47" spans="1:9" ht="131.25" x14ac:dyDescent="0.25">
      <c r="A47" s="115" t="s">
        <v>37</v>
      </c>
      <c r="B47" s="119">
        <v>244</v>
      </c>
      <c r="C47" s="119">
        <v>341</v>
      </c>
      <c r="D47" s="5">
        <f t="shared" ref="D47:D53" si="14">E47+F47</f>
        <v>0</v>
      </c>
      <c r="E47" s="2">
        <f>'платные на 2022-2023 год'!E163</f>
        <v>0</v>
      </c>
      <c r="F47" s="2">
        <f>'платные на 2022-2023 год'!F163</f>
        <v>0</v>
      </c>
      <c r="G47" s="5">
        <f t="shared" ref="G47:G53" si="15">H47+I47</f>
        <v>0</v>
      </c>
      <c r="H47" s="2">
        <f>'платные на 2022-2023 год'!H163</f>
        <v>0</v>
      </c>
      <c r="I47" s="2">
        <f>'платные на 2022-2023 год'!I163</f>
        <v>0</v>
      </c>
    </row>
    <row r="48" spans="1:9" ht="56.25" x14ac:dyDescent="0.25">
      <c r="A48" s="115" t="s">
        <v>38</v>
      </c>
      <c r="B48" s="119">
        <v>244</v>
      </c>
      <c r="C48" s="119">
        <v>342</v>
      </c>
      <c r="D48" s="5">
        <f t="shared" si="14"/>
        <v>0</v>
      </c>
      <c r="E48" s="2">
        <f>'платные на 2022-2023 год'!E164</f>
        <v>0</v>
      </c>
      <c r="F48" s="2">
        <f>'платные на 2022-2023 год'!F164</f>
        <v>0</v>
      </c>
      <c r="G48" s="5">
        <f t="shared" si="15"/>
        <v>0</v>
      </c>
      <c r="H48" s="2">
        <f>'платные на 2022-2023 год'!H164</f>
        <v>0</v>
      </c>
      <c r="I48" s="2">
        <f>'платные на 2022-2023 год'!I164</f>
        <v>0</v>
      </c>
    </row>
    <row r="49" spans="1:9" ht="75" x14ac:dyDescent="0.25">
      <c r="A49" s="115" t="s">
        <v>39</v>
      </c>
      <c r="B49" s="119">
        <v>244</v>
      </c>
      <c r="C49" s="119">
        <v>343</v>
      </c>
      <c r="D49" s="5">
        <f t="shared" si="14"/>
        <v>0</v>
      </c>
      <c r="E49" s="2">
        <f>'платные на 2022-2023 год'!E165</f>
        <v>0</v>
      </c>
      <c r="F49" s="2">
        <f>'платные на 2022-2023 год'!F165</f>
        <v>0</v>
      </c>
      <c r="G49" s="5">
        <f t="shared" si="15"/>
        <v>0</v>
      </c>
      <c r="H49" s="2">
        <f>'платные на 2022-2023 год'!H165</f>
        <v>0</v>
      </c>
      <c r="I49" s="2">
        <f>'платные на 2022-2023 год'!I165</f>
        <v>0</v>
      </c>
    </row>
    <row r="50" spans="1:9" ht="75" x14ac:dyDescent="0.25">
      <c r="A50" s="115" t="s">
        <v>40</v>
      </c>
      <c r="B50" s="119">
        <v>244</v>
      </c>
      <c r="C50" s="119">
        <v>344</v>
      </c>
      <c r="D50" s="5">
        <f t="shared" si="14"/>
        <v>0</v>
      </c>
      <c r="E50" s="2">
        <f>'платные на 2022-2023 год'!E166</f>
        <v>0</v>
      </c>
      <c r="F50" s="2">
        <f>'платные на 2022-2023 год'!F166</f>
        <v>0</v>
      </c>
      <c r="G50" s="5">
        <f t="shared" si="15"/>
        <v>0</v>
      </c>
      <c r="H50" s="2">
        <f>'платные на 2022-2023 год'!H166</f>
        <v>0</v>
      </c>
      <c r="I50" s="2">
        <f>'платные на 2022-2023 год'!I166</f>
        <v>0</v>
      </c>
    </row>
    <row r="51" spans="1:9" ht="56.25" x14ac:dyDescent="0.25">
      <c r="A51" s="115" t="s">
        <v>41</v>
      </c>
      <c r="B51" s="119">
        <v>244</v>
      </c>
      <c r="C51" s="119">
        <v>345</v>
      </c>
      <c r="D51" s="5">
        <f t="shared" si="14"/>
        <v>0</v>
      </c>
      <c r="E51" s="2">
        <f>'платные на 2022-2023 год'!E167</f>
        <v>0</v>
      </c>
      <c r="F51" s="2">
        <f>'платные на 2022-2023 год'!F167</f>
        <v>0</v>
      </c>
      <c r="G51" s="5">
        <f t="shared" si="15"/>
        <v>0</v>
      </c>
      <c r="H51" s="2">
        <f>'платные на 2022-2023 год'!H167</f>
        <v>0</v>
      </c>
      <c r="I51" s="2">
        <f>'платные на 2022-2023 год'!I167</f>
        <v>0</v>
      </c>
    </row>
    <row r="52" spans="1:9" ht="75" x14ac:dyDescent="0.25">
      <c r="A52" s="115" t="s">
        <v>42</v>
      </c>
      <c r="B52" s="119">
        <v>244</v>
      </c>
      <c r="C52" s="119">
        <v>346</v>
      </c>
      <c r="D52" s="5">
        <f t="shared" si="14"/>
        <v>0</v>
      </c>
      <c r="E52" s="2">
        <f>'платные на 2022-2023 год'!E168</f>
        <v>0</v>
      </c>
      <c r="F52" s="2">
        <f>'платные на 2022-2023 год'!F168</f>
        <v>0</v>
      </c>
      <c r="G52" s="5">
        <f t="shared" si="15"/>
        <v>0</v>
      </c>
      <c r="H52" s="2">
        <f>'платные на 2022-2023 год'!H168</f>
        <v>0</v>
      </c>
      <c r="I52" s="2">
        <f>'платные на 2022-2023 год'!I168</f>
        <v>0</v>
      </c>
    </row>
    <row r="53" spans="1:9" ht="112.5" x14ac:dyDescent="0.25">
      <c r="A53" s="115" t="s">
        <v>43</v>
      </c>
      <c r="B53" s="119">
        <v>244</v>
      </c>
      <c r="C53" s="119">
        <v>349</v>
      </c>
      <c r="D53" s="5">
        <f t="shared" si="14"/>
        <v>0</v>
      </c>
      <c r="E53" s="2">
        <f>'платные на 2022-2023 год'!E170</f>
        <v>0</v>
      </c>
      <c r="F53" s="2">
        <f>'платные на 2022-2023 год'!F170</f>
        <v>0</v>
      </c>
      <c r="G53" s="5">
        <f t="shared" si="15"/>
        <v>0</v>
      </c>
      <c r="H53" s="2">
        <f>'платные на 2022-2023 год'!H170</f>
        <v>0</v>
      </c>
      <c r="I53" s="2">
        <f>'платные на 2022-2023 год'!I170</f>
        <v>0</v>
      </c>
    </row>
    <row r="54" spans="1:9" ht="32.450000000000003" customHeight="1" x14ac:dyDescent="0.25">
      <c r="A54" s="327" t="s">
        <v>202</v>
      </c>
      <c r="B54" s="328"/>
      <c r="C54" s="328"/>
      <c r="D54" s="328"/>
      <c r="E54" s="328"/>
      <c r="F54" s="328"/>
      <c r="G54" s="328"/>
      <c r="H54" s="328"/>
      <c r="I54" s="329"/>
    </row>
    <row r="55" spans="1:9" ht="18.75" x14ac:dyDescent="0.25">
      <c r="A55" s="115" t="s">
        <v>8</v>
      </c>
      <c r="B55" s="119" t="s">
        <v>5</v>
      </c>
      <c r="C55" s="119">
        <v>200</v>
      </c>
      <c r="D55" s="5">
        <f t="shared" ref="D55" si="16">E55+F55</f>
        <v>0</v>
      </c>
      <c r="E55" s="2">
        <f>E57+E60+E79</f>
        <v>0</v>
      </c>
      <c r="F55" s="2">
        <f>F57+F60+F79</f>
        <v>0</v>
      </c>
      <c r="G55" s="5">
        <f t="shared" ref="G55" si="17">H55+I55</f>
        <v>0</v>
      </c>
      <c r="H55" s="2">
        <f>H57+H60+H79</f>
        <v>0</v>
      </c>
      <c r="I55" s="4">
        <f>I57+I60+I79</f>
        <v>0</v>
      </c>
    </row>
    <row r="56" spans="1:9" ht="18.75" x14ac:dyDescent="0.25">
      <c r="A56" s="115" t="s">
        <v>9</v>
      </c>
      <c r="B56" s="119"/>
      <c r="C56" s="119"/>
      <c r="D56" s="5"/>
      <c r="E56" s="2"/>
      <c r="F56" s="2"/>
      <c r="G56" s="5"/>
      <c r="H56" s="2"/>
      <c r="I56" s="4"/>
    </row>
    <row r="57" spans="1:9" ht="75" x14ac:dyDescent="0.25">
      <c r="A57" s="115" t="s">
        <v>10</v>
      </c>
      <c r="B57" s="119" t="s">
        <v>5</v>
      </c>
      <c r="C57" s="119">
        <v>210</v>
      </c>
      <c r="D57" s="5">
        <f t="shared" ref="D57" si="18">E57+F57</f>
        <v>0</v>
      </c>
      <c r="E57" s="2">
        <f>E59</f>
        <v>0</v>
      </c>
      <c r="F57" s="2">
        <f>F59</f>
        <v>0</v>
      </c>
      <c r="G57" s="5">
        <f t="shared" ref="G57" si="19">H57+I57</f>
        <v>0</v>
      </c>
      <c r="H57" s="2">
        <f>H59</f>
        <v>0</v>
      </c>
      <c r="I57" s="4">
        <f>I59</f>
        <v>0</v>
      </c>
    </row>
    <row r="58" spans="1:9" ht="18.75" x14ac:dyDescent="0.25">
      <c r="A58" s="115" t="s">
        <v>9</v>
      </c>
      <c r="B58" s="119"/>
      <c r="C58" s="119"/>
      <c r="D58" s="5"/>
      <c r="E58" s="2"/>
      <c r="F58" s="2"/>
      <c r="G58" s="5"/>
      <c r="H58" s="2"/>
      <c r="I58" s="4"/>
    </row>
    <row r="59" spans="1:9" ht="93.75" x14ac:dyDescent="0.25">
      <c r="A59" s="115" t="s">
        <v>201</v>
      </c>
      <c r="B59" s="119">
        <v>244</v>
      </c>
      <c r="C59" s="119">
        <v>214</v>
      </c>
      <c r="D59" s="5">
        <f>E59+F59</f>
        <v>0</v>
      </c>
      <c r="E59" s="2">
        <f>'платные на 2022-2023 год'!E176</f>
        <v>0</v>
      </c>
      <c r="F59" s="2">
        <f>'платные на 2022-2023 год'!F176</f>
        <v>0</v>
      </c>
      <c r="G59" s="5">
        <f>H59+I59</f>
        <v>0</v>
      </c>
      <c r="H59" s="2">
        <f>'платные на 2022-2023 год'!H176</f>
        <v>0</v>
      </c>
      <c r="I59" s="2">
        <f>'платные на 2022-2023 год'!I176</f>
        <v>0</v>
      </c>
    </row>
    <row r="60" spans="1:9" ht="37.5" x14ac:dyDescent="0.25">
      <c r="A60" s="115" t="s">
        <v>14</v>
      </c>
      <c r="B60" s="119" t="s">
        <v>5</v>
      </c>
      <c r="C60" s="119">
        <v>220</v>
      </c>
      <c r="D60" s="5">
        <f t="shared" ref="D60" si="20">E60+F60</f>
        <v>0</v>
      </c>
      <c r="E60" s="2">
        <f>E62+E63+E64+E71+E72+E75+E78</f>
        <v>0</v>
      </c>
      <c r="F60" s="2">
        <f>F62+F63+F64+F71+F72+F75+F78</f>
        <v>0</v>
      </c>
      <c r="G60" s="5">
        <f t="shared" ref="G60" si="21">H60+I60</f>
        <v>0</v>
      </c>
      <c r="H60" s="2">
        <f>H62+H63+H64+H71+H72+H75+H78</f>
        <v>0</v>
      </c>
      <c r="I60" s="4">
        <f>I62+I63+I64+I71+I72+I75+I78</f>
        <v>0</v>
      </c>
    </row>
    <row r="61" spans="1:9" ht="18.75" x14ac:dyDescent="0.25">
      <c r="A61" s="115" t="s">
        <v>9</v>
      </c>
      <c r="B61" s="119"/>
      <c r="C61" s="119"/>
      <c r="D61" s="5"/>
      <c r="E61" s="2"/>
      <c r="F61" s="2"/>
      <c r="G61" s="5"/>
      <c r="H61" s="2"/>
      <c r="I61" s="4"/>
    </row>
    <row r="62" spans="1:9" ht="18.75" x14ac:dyDescent="0.25">
      <c r="A62" s="115" t="s">
        <v>15</v>
      </c>
      <c r="B62" s="119">
        <v>244</v>
      </c>
      <c r="C62" s="119">
        <v>221</v>
      </c>
      <c r="D62" s="5">
        <f t="shared" ref="D62:D64" si="22">E62+F62</f>
        <v>0</v>
      </c>
      <c r="E62" s="2">
        <f>'платные на 2022-2023 год'!E179</f>
        <v>0</v>
      </c>
      <c r="F62" s="2">
        <f>'платные на 2022-2023 год'!F179</f>
        <v>0</v>
      </c>
      <c r="G62" s="5">
        <f t="shared" ref="G62:G64" si="23">H62+I62</f>
        <v>0</v>
      </c>
      <c r="H62" s="2">
        <f>'платные на 2022-2023 год'!H179</f>
        <v>0</v>
      </c>
      <c r="I62" s="2">
        <f>'платные на 2022-2023 год'!I179</f>
        <v>0</v>
      </c>
    </row>
    <row r="63" spans="1:9" ht="37.5" x14ac:dyDescent="0.25">
      <c r="A63" s="115" t="s">
        <v>16</v>
      </c>
      <c r="B63" s="119">
        <v>244</v>
      </c>
      <c r="C63" s="119">
        <v>222</v>
      </c>
      <c r="D63" s="5">
        <f t="shared" si="22"/>
        <v>0</v>
      </c>
      <c r="E63" s="2">
        <f>'платные на 2022-2023 год'!E180</f>
        <v>0</v>
      </c>
      <c r="F63" s="2">
        <f>'платные на 2022-2023 год'!F180</f>
        <v>0</v>
      </c>
      <c r="G63" s="5">
        <f t="shared" si="23"/>
        <v>0</v>
      </c>
      <c r="H63" s="2">
        <f>'платные на 2022-2023 год'!H180</f>
        <v>0</v>
      </c>
      <c r="I63" s="2">
        <f>'платные на 2022-2023 год'!I180</f>
        <v>0</v>
      </c>
    </row>
    <row r="64" spans="1:9" ht="37.5" x14ac:dyDescent="0.25">
      <c r="A64" s="115" t="s">
        <v>17</v>
      </c>
      <c r="B64" s="119" t="s">
        <v>5</v>
      </c>
      <c r="C64" s="119">
        <v>223</v>
      </c>
      <c r="D64" s="5">
        <f t="shared" si="22"/>
        <v>0</v>
      </c>
      <c r="E64" s="2">
        <f t="shared" ref="E64:F64" si="24">E66+E67+E68+E69+E70</f>
        <v>0</v>
      </c>
      <c r="F64" s="2">
        <f t="shared" si="24"/>
        <v>0</v>
      </c>
      <c r="G64" s="5">
        <f t="shared" si="23"/>
        <v>0</v>
      </c>
      <c r="H64" s="2">
        <f t="shared" ref="H64:I64" si="25">H66+H67+H68+H69+H70</f>
        <v>0</v>
      </c>
      <c r="I64" s="4">
        <f t="shared" si="25"/>
        <v>0</v>
      </c>
    </row>
    <row r="65" spans="1:9" ht="18.75" x14ac:dyDescent="0.25">
      <c r="A65" s="115" t="s">
        <v>6</v>
      </c>
      <c r="B65" s="119"/>
      <c r="C65" s="119"/>
      <c r="D65" s="5"/>
      <c r="E65" s="2"/>
      <c r="F65" s="2"/>
      <c r="G65" s="5"/>
      <c r="H65" s="2"/>
      <c r="I65" s="4"/>
    </row>
    <row r="66" spans="1:9" ht="56.25" x14ac:dyDescent="0.25">
      <c r="A66" s="115" t="s">
        <v>18</v>
      </c>
      <c r="B66" s="119">
        <v>247</v>
      </c>
      <c r="C66" s="119">
        <v>223</v>
      </c>
      <c r="D66" s="5">
        <f t="shared" ref="D66:D71" si="26">E66+F66</f>
        <v>0</v>
      </c>
      <c r="E66" s="2">
        <f>'платные на 2022-2023 год'!E183</f>
        <v>0</v>
      </c>
      <c r="F66" s="2">
        <f>'платные на 2022-2023 год'!F183</f>
        <v>0</v>
      </c>
      <c r="G66" s="5">
        <f t="shared" ref="G66:G71" si="27">H66+I66</f>
        <v>0</v>
      </c>
      <c r="H66" s="2">
        <f>'платные на 2022-2023 год'!H183</f>
        <v>0</v>
      </c>
      <c r="I66" s="2">
        <f>'платные на 2022-2023 год'!I183</f>
        <v>0</v>
      </c>
    </row>
    <row r="67" spans="1:9" ht="37.5" x14ac:dyDescent="0.25">
      <c r="A67" s="115" t="s">
        <v>19</v>
      </c>
      <c r="B67" s="119">
        <v>247</v>
      </c>
      <c r="C67" s="119">
        <v>223</v>
      </c>
      <c r="D67" s="5">
        <f t="shared" si="26"/>
        <v>0</v>
      </c>
      <c r="E67" s="2">
        <f>'платные на 2022-2023 год'!E184</f>
        <v>0</v>
      </c>
      <c r="F67" s="2">
        <f>'платные на 2022-2023 год'!F184</f>
        <v>0</v>
      </c>
      <c r="G67" s="5">
        <f t="shared" si="27"/>
        <v>0</v>
      </c>
      <c r="H67" s="2">
        <f>'платные на 2022-2023 год'!H184</f>
        <v>0</v>
      </c>
      <c r="I67" s="2">
        <f>'платные на 2022-2023 год'!I184</f>
        <v>0</v>
      </c>
    </row>
    <row r="68" spans="1:9" ht="75" x14ac:dyDescent="0.25">
      <c r="A68" s="115" t="s">
        <v>20</v>
      </c>
      <c r="B68" s="119">
        <v>247</v>
      </c>
      <c r="C68" s="119">
        <v>223</v>
      </c>
      <c r="D68" s="5">
        <f t="shared" si="26"/>
        <v>0</v>
      </c>
      <c r="E68" s="2">
        <f>'платные на 2022-2023 год'!E185</f>
        <v>0</v>
      </c>
      <c r="F68" s="2">
        <f>'платные на 2022-2023 год'!F185</f>
        <v>0</v>
      </c>
      <c r="G68" s="5">
        <f t="shared" si="27"/>
        <v>0</v>
      </c>
      <c r="H68" s="2">
        <f>'платные на 2022-2023 год'!H185</f>
        <v>0</v>
      </c>
      <c r="I68" s="2">
        <f>'платные на 2022-2023 год'!I185</f>
        <v>0</v>
      </c>
    </row>
    <row r="69" spans="1:9" ht="75" x14ac:dyDescent="0.25">
      <c r="A69" s="115" t="s">
        <v>21</v>
      </c>
      <c r="B69" s="119">
        <v>244</v>
      </c>
      <c r="C69" s="119">
        <v>223</v>
      </c>
      <c r="D69" s="5">
        <f t="shared" si="26"/>
        <v>0</v>
      </c>
      <c r="E69" s="2">
        <f>'платные на 2022-2023 год'!E186</f>
        <v>0</v>
      </c>
      <c r="F69" s="2">
        <f>'платные на 2022-2023 год'!F186</f>
        <v>0</v>
      </c>
      <c r="G69" s="5">
        <f t="shared" si="27"/>
        <v>0</v>
      </c>
      <c r="H69" s="2">
        <f>'платные на 2022-2023 год'!H186</f>
        <v>0</v>
      </c>
      <c r="I69" s="2">
        <f>'платные на 2022-2023 год'!I186</f>
        <v>0</v>
      </c>
    </row>
    <row r="70" spans="1:9" ht="56.25" x14ac:dyDescent="0.25">
      <c r="A70" s="115" t="s">
        <v>22</v>
      </c>
      <c r="B70" s="119">
        <v>244</v>
      </c>
      <c r="C70" s="119">
        <v>223</v>
      </c>
      <c r="D70" s="5">
        <f t="shared" si="26"/>
        <v>0</v>
      </c>
      <c r="E70" s="2">
        <f>'платные на 2022-2023 год'!E187</f>
        <v>0</v>
      </c>
      <c r="F70" s="2">
        <f>'платные на 2022-2023 год'!F187</f>
        <v>0</v>
      </c>
      <c r="G70" s="5">
        <f t="shared" si="27"/>
        <v>0</v>
      </c>
      <c r="H70" s="2">
        <f>'платные на 2022-2023 год'!H187</f>
        <v>0</v>
      </c>
      <c r="I70" s="2">
        <f>'платные на 2022-2023 год'!I187</f>
        <v>0</v>
      </c>
    </row>
    <row r="71" spans="1:9" ht="168.75" x14ac:dyDescent="0.25">
      <c r="A71" s="115" t="s">
        <v>23</v>
      </c>
      <c r="B71" s="119">
        <v>244</v>
      </c>
      <c r="C71" s="119">
        <v>224</v>
      </c>
      <c r="D71" s="5">
        <f t="shared" si="26"/>
        <v>0</v>
      </c>
      <c r="E71" s="2">
        <f>'платные на 2022-2023 год'!E188</f>
        <v>0</v>
      </c>
      <c r="F71" s="2">
        <f>'платные на 2022-2023 год'!F188</f>
        <v>0</v>
      </c>
      <c r="G71" s="5">
        <f t="shared" si="27"/>
        <v>0</v>
      </c>
      <c r="H71" s="2">
        <f>'платные на 2022-2023 год'!H188</f>
        <v>0</v>
      </c>
      <c r="I71" s="2">
        <f>'платные на 2022-2023 год'!I188</f>
        <v>0</v>
      </c>
    </row>
    <row r="72" spans="1:9" ht="56.25" x14ac:dyDescent="0.25">
      <c r="A72" s="115" t="s">
        <v>24</v>
      </c>
      <c r="B72" s="119" t="s">
        <v>5</v>
      </c>
      <c r="C72" s="119">
        <v>225</v>
      </c>
      <c r="D72" s="2">
        <f t="shared" ref="D72" si="28">D73+D74</f>
        <v>0</v>
      </c>
      <c r="E72" s="2">
        <f>E73+E74</f>
        <v>0</v>
      </c>
      <c r="F72" s="2">
        <f t="shared" ref="F72:G72" si="29">F73+F74</f>
        <v>0</v>
      </c>
      <c r="G72" s="2">
        <f t="shared" si="29"/>
        <v>0</v>
      </c>
      <c r="H72" s="2">
        <f>H73+H74</f>
        <v>0</v>
      </c>
      <c r="I72" s="4">
        <f t="shared" ref="I72" si="30">I73+I74</f>
        <v>0</v>
      </c>
    </row>
    <row r="73" spans="1:9" ht="18.75" x14ac:dyDescent="0.25">
      <c r="A73" s="221" t="s">
        <v>6</v>
      </c>
      <c r="B73" s="119">
        <v>243</v>
      </c>
      <c r="C73" s="119">
        <v>225</v>
      </c>
      <c r="D73" s="5">
        <f t="shared" ref="D73:D83" si="31">E73+F73</f>
        <v>0</v>
      </c>
      <c r="E73" s="2">
        <f>'платные на 2022-2023 год'!E190</f>
        <v>0</v>
      </c>
      <c r="F73" s="2">
        <f>'платные на 2022-2023 год'!F190</f>
        <v>0</v>
      </c>
      <c r="G73" s="5">
        <f t="shared" ref="G73:G83" si="32">H73+I73</f>
        <v>0</v>
      </c>
      <c r="H73" s="2">
        <f>'платные на 2022-2023 год'!H190</f>
        <v>0</v>
      </c>
      <c r="I73" s="2">
        <f>'платные на 2022-2023 год'!I190</f>
        <v>0</v>
      </c>
    </row>
    <row r="74" spans="1:9" ht="18.75" x14ac:dyDescent="0.25">
      <c r="A74" s="221"/>
      <c r="B74" s="119">
        <v>244</v>
      </c>
      <c r="C74" s="119">
        <v>225</v>
      </c>
      <c r="D74" s="5">
        <f t="shared" si="31"/>
        <v>0</v>
      </c>
      <c r="E74" s="2">
        <f>'платные на 2022-2023 год'!E191</f>
        <v>0</v>
      </c>
      <c r="F74" s="2">
        <f>'платные на 2022-2023 год'!F191</f>
        <v>0</v>
      </c>
      <c r="G74" s="5">
        <f t="shared" si="32"/>
        <v>0</v>
      </c>
      <c r="H74" s="2">
        <f>'платные на 2022-2023 год'!H191</f>
        <v>0</v>
      </c>
      <c r="I74" s="2">
        <f>'платные на 2022-2023 год'!I191</f>
        <v>0</v>
      </c>
    </row>
    <row r="75" spans="1:9" ht="37.5" x14ac:dyDescent="0.25">
      <c r="A75" s="115" t="s">
        <v>58</v>
      </c>
      <c r="B75" s="119" t="s">
        <v>5</v>
      </c>
      <c r="C75" s="119">
        <v>226</v>
      </c>
      <c r="D75" s="5">
        <f t="shared" si="31"/>
        <v>0</v>
      </c>
      <c r="E75" s="2">
        <f>E76+E77</f>
        <v>0</v>
      </c>
      <c r="F75" s="2">
        <f>F76+F77</f>
        <v>0</v>
      </c>
      <c r="G75" s="5">
        <f t="shared" si="32"/>
        <v>0</v>
      </c>
      <c r="H75" s="2">
        <f>H76+H77</f>
        <v>0</v>
      </c>
      <c r="I75" s="4">
        <f>I76+I77</f>
        <v>0</v>
      </c>
    </row>
    <row r="76" spans="1:9" ht="18.75" x14ac:dyDescent="0.25">
      <c r="A76" s="221" t="s">
        <v>6</v>
      </c>
      <c r="B76" s="119">
        <v>243</v>
      </c>
      <c r="C76" s="119">
        <v>226</v>
      </c>
      <c r="D76" s="5">
        <f t="shared" si="31"/>
        <v>0</v>
      </c>
      <c r="E76" s="2">
        <f>'платные на 2022-2023 год'!E193</f>
        <v>0</v>
      </c>
      <c r="F76" s="2">
        <f>'платные на 2022-2023 год'!F193</f>
        <v>0</v>
      </c>
      <c r="G76" s="5">
        <f t="shared" si="32"/>
        <v>0</v>
      </c>
      <c r="H76" s="2">
        <f>'платные на 2022-2023 год'!H193</f>
        <v>0</v>
      </c>
      <c r="I76" s="2">
        <f>'платные на 2022-2023 год'!I193</f>
        <v>0</v>
      </c>
    </row>
    <row r="77" spans="1:9" ht="18.75" x14ac:dyDescent="0.25">
      <c r="A77" s="221"/>
      <c r="B77" s="119">
        <v>244</v>
      </c>
      <c r="C77" s="119">
        <v>226</v>
      </c>
      <c r="D77" s="5">
        <f t="shared" si="31"/>
        <v>0</v>
      </c>
      <c r="E77" s="2">
        <f>'платные на 2022-2023 год'!E194</f>
        <v>0</v>
      </c>
      <c r="F77" s="2">
        <f>'платные на 2022-2023 год'!F194</f>
        <v>0</v>
      </c>
      <c r="G77" s="5">
        <f t="shared" si="32"/>
        <v>0</v>
      </c>
      <c r="H77" s="2">
        <f>'платные на 2022-2023 год'!H194</f>
        <v>0</v>
      </c>
      <c r="I77" s="2">
        <f>'платные на 2022-2023 год'!I194</f>
        <v>0</v>
      </c>
    </row>
    <row r="78" spans="1:9" ht="18.75" x14ac:dyDescent="0.25">
      <c r="A78" s="115" t="s">
        <v>25</v>
      </c>
      <c r="B78" s="119">
        <v>244</v>
      </c>
      <c r="C78" s="119">
        <v>227</v>
      </c>
      <c r="D78" s="5">
        <f t="shared" si="31"/>
        <v>0</v>
      </c>
      <c r="E78" s="2">
        <f>'платные на 2022-2023 год'!E195</f>
        <v>0</v>
      </c>
      <c r="F78" s="2">
        <f>'платные на 2022-2023 год'!F195</f>
        <v>0</v>
      </c>
      <c r="G78" s="5">
        <f t="shared" si="32"/>
        <v>0</v>
      </c>
      <c r="H78" s="2">
        <f>'платные на 2022-2023 год'!H195</f>
        <v>0</v>
      </c>
      <c r="I78" s="2">
        <f>'платные на 2022-2023 год'!I195</f>
        <v>0</v>
      </c>
    </row>
    <row r="79" spans="1:9" ht="18.75" x14ac:dyDescent="0.25">
      <c r="A79" s="115" t="s">
        <v>30</v>
      </c>
      <c r="B79" s="119" t="s">
        <v>5</v>
      </c>
      <c r="C79" s="119">
        <v>290</v>
      </c>
      <c r="D79" s="5">
        <f t="shared" si="31"/>
        <v>0</v>
      </c>
      <c r="E79" s="2">
        <f>E81+E82</f>
        <v>0</v>
      </c>
      <c r="F79" s="2">
        <f>F81+F82</f>
        <v>0</v>
      </c>
      <c r="G79" s="5">
        <f t="shared" si="32"/>
        <v>0</v>
      </c>
      <c r="H79" s="2">
        <f>H81+H82</f>
        <v>0</v>
      </c>
      <c r="I79" s="4">
        <f>I81+I82</f>
        <v>0</v>
      </c>
    </row>
    <row r="80" spans="1:9" ht="18.75" x14ac:dyDescent="0.25">
      <c r="A80" s="115" t="s">
        <v>9</v>
      </c>
      <c r="B80" s="119"/>
      <c r="C80" s="119"/>
      <c r="D80" s="5">
        <f t="shared" si="31"/>
        <v>0</v>
      </c>
      <c r="E80" s="2"/>
      <c r="F80" s="2"/>
      <c r="G80" s="5">
        <f t="shared" si="32"/>
        <v>0</v>
      </c>
      <c r="H80" s="2"/>
      <c r="I80" s="4"/>
    </row>
    <row r="81" spans="1:9" ht="56.25" x14ac:dyDescent="0.25">
      <c r="A81" s="115" t="s">
        <v>34</v>
      </c>
      <c r="B81" s="119">
        <v>244</v>
      </c>
      <c r="C81" s="119">
        <v>296</v>
      </c>
      <c r="D81" s="5">
        <f t="shared" si="31"/>
        <v>0</v>
      </c>
      <c r="E81" s="2">
        <f>'платные на 2022-2023 год'!E199</f>
        <v>0</v>
      </c>
      <c r="F81" s="2">
        <f>'платные на 2022-2023 год'!F199</f>
        <v>0</v>
      </c>
      <c r="G81" s="5">
        <f t="shared" si="32"/>
        <v>0</v>
      </c>
      <c r="H81" s="2">
        <f>'платные на 2022-2023 год'!H199</f>
        <v>0</v>
      </c>
      <c r="I81" s="2">
        <f>'платные на 2022-2023 год'!I199</f>
        <v>0</v>
      </c>
    </row>
    <row r="82" spans="1:9" ht="56.25" x14ac:dyDescent="0.25">
      <c r="A82" s="115" t="s">
        <v>35</v>
      </c>
      <c r="B82" s="119">
        <v>244</v>
      </c>
      <c r="C82" s="119">
        <v>297</v>
      </c>
      <c r="D82" s="5">
        <f t="shared" si="31"/>
        <v>0</v>
      </c>
      <c r="E82" s="2">
        <f>'платные на 2022-2023 год'!E200</f>
        <v>0</v>
      </c>
      <c r="F82" s="2">
        <f>'платные на 2022-2023 год'!F200</f>
        <v>0</v>
      </c>
      <c r="G82" s="5">
        <f t="shared" si="32"/>
        <v>0</v>
      </c>
      <c r="H82" s="2">
        <f>'платные на 2022-2023 год'!H200</f>
        <v>0</v>
      </c>
      <c r="I82" s="2">
        <f>'платные на 2022-2023 год'!I200</f>
        <v>0</v>
      </c>
    </row>
    <row r="83" spans="1:9" ht="56.25" x14ac:dyDescent="0.25">
      <c r="A83" s="115" t="s">
        <v>59</v>
      </c>
      <c r="B83" s="119" t="s">
        <v>5</v>
      </c>
      <c r="C83" s="119">
        <v>300</v>
      </c>
      <c r="D83" s="5">
        <f t="shared" si="31"/>
        <v>0</v>
      </c>
      <c r="E83" s="2">
        <f>E85+E87+E86</f>
        <v>0</v>
      </c>
      <c r="F83" s="2">
        <f>F85+F87+F86</f>
        <v>0</v>
      </c>
      <c r="G83" s="5">
        <f t="shared" si="32"/>
        <v>0</v>
      </c>
      <c r="H83" s="2">
        <f>H85+H87+H86</f>
        <v>0</v>
      </c>
      <c r="I83" s="4">
        <f>I85+I87+I86</f>
        <v>0</v>
      </c>
    </row>
    <row r="84" spans="1:9" ht="18.75" x14ac:dyDescent="0.25">
      <c r="A84" s="115" t="s">
        <v>9</v>
      </c>
      <c r="B84" s="119"/>
      <c r="C84" s="119"/>
      <c r="D84" s="5"/>
      <c r="E84" s="2"/>
      <c r="F84" s="2"/>
      <c r="G84" s="5"/>
      <c r="H84" s="2"/>
      <c r="I84" s="4"/>
    </row>
    <row r="85" spans="1:9" ht="76.150000000000006" customHeight="1" x14ac:dyDescent="0.25">
      <c r="A85" s="115" t="s">
        <v>36</v>
      </c>
      <c r="B85" s="119">
        <v>244</v>
      </c>
      <c r="C85" s="119">
        <v>310</v>
      </c>
      <c r="D85" s="5">
        <f t="shared" ref="D85:D87" si="33">E85+F85</f>
        <v>0</v>
      </c>
      <c r="E85" s="2">
        <f>'платные на 2022-2023 год'!E203</f>
        <v>0</v>
      </c>
      <c r="F85" s="2">
        <f>'платные на 2022-2023 год'!F203</f>
        <v>0</v>
      </c>
      <c r="G85" s="5">
        <f t="shared" ref="G85:G87" si="34">H85+I85</f>
        <v>0</v>
      </c>
      <c r="H85" s="2">
        <f>'платные на 2022-2023 год'!H203</f>
        <v>0</v>
      </c>
      <c r="I85" s="2">
        <f>'платные на 2022-2023 год'!I203</f>
        <v>0</v>
      </c>
    </row>
    <row r="86" spans="1:9" ht="76.150000000000006" customHeight="1" x14ac:dyDescent="0.25">
      <c r="A86" s="115" t="s">
        <v>68</v>
      </c>
      <c r="B86" s="119">
        <v>244</v>
      </c>
      <c r="C86" s="119">
        <v>320</v>
      </c>
      <c r="D86" s="5">
        <f t="shared" si="33"/>
        <v>0</v>
      </c>
      <c r="E86" s="2">
        <f>'платные на 2022-2023 год'!E204</f>
        <v>0</v>
      </c>
      <c r="F86" s="2">
        <f>'платные на 2022-2023 год'!F204</f>
        <v>0</v>
      </c>
      <c r="G86" s="5">
        <f t="shared" si="34"/>
        <v>0</v>
      </c>
      <c r="H86" s="2">
        <f>'платные на 2022-2023 год'!H204</f>
        <v>0</v>
      </c>
      <c r="I86" s="2">
        <f>'платные на 2022-2023 год'!I204</f>
        <v>0</v>
      </c>
    </row>
    <row r="87" spans="1:9" ht="76.150000000000006" customHeight="1" x14ac:dyDescent="0.25">
      <c r="A87" s="115" t="s">
        <v>60</v>
      </c>
      <c r="B87" s="119" t="s">
        <v>5</v>
      </c>
      <c r="C87" s="119">
        <v>340</v>
      </c>
      <c r="D87" s="5">
        <f t="shared" si="33"/>
        <v>0</v>
      </c>
      <c r="E87" s="2">
        <f>E89+E90+E91+E92+E93+E94+E95</f>
        <v>0</v>
      </c>
      <c r="F87" s="2">
        <f>F89+F90+F91+F92+F93+F94+F95</f>
        <v>0</v>
      </c>
      <c r="G87" s="5">
        <f t="shared" si="34"/>
        <v>0</v>
      </c>
      <c r="H87" s="2">
        <f>H89+H90+H91+H92+H93+H94+H95</f>
        <v>0</v>
      </c>
      <c r="I87" s="4">
        <f>I89+I90+I91+I92+I93+I94+I95</f>
        <v>0</v>
      </c>
    </row>
    <row r="88" spans="1:9" ht="18.75" x14ac:dyDescent="0.25">
      <c r="A88" s="115" t="s">
        <v>6</v>
      </c>
      <c r="B88" s="119"/>
      <c r="C88" s="119"/>
      <c r="D88" s="5"/>
      <c r="E88" s="2"/>
      <c r="F88" s="2"/>
      <c r="G88" s="5"/>
      <c r="H88" s="2"/>
      <c r="I88" s="4"/>
    </row>
    <row r="89" spans="1:9" ht="156" customHeight="1" x14ac:dyDescent="0.25">
      <c r="A89" s="115" t="s">
        <v>37</v>
      </c>
      <c r="B89" s="119">
        <v>244</v>
      </c>
      <c r="C89" s="119">
        <v>341</v>
      </c>
      <c r="D89" s="5">
        <f t="shared" ref="D89:D95" si="35">E89+F89</f>
        <v>0</v>
      </c>
      <c r="E89" s="2">
        <f>'платные на 2022-2023 год'!E207</f>
        <v>0</v>
      </c>
      <c r="F89" s="2">
        <f>'платные на 2022-2023 год'!F207</f>
        <v>0</v>
      </c>
      <c r="G89" s="5">
        <f t="shared" ref="G89:G95" si="36">H89+I89</f>
        <v>0</v>
      </c>
      <c r="H89" s="2">
        <f>'платные на 2022-2023 год'!H207</f>
        <v>0</v>
      </c>
      <c r="I89" s="2">
        <f>'платные на 2022-2023 год'!I207</f>
        <v>0</v>
      </c>
    </row>
    <row r="90" spans="1:9" ht="94.9" customHeight="1" x14ac:dyDescent="0.25">
      <c r="A90" s="115" t="s">
        <v>38</v>
      </c>
      <c r="B90" s="119">
        <v>244</v>
      </c>
      <c r="C90" s="119">
        <v>342</v>
      </c>
      <c r="D90" s="5">
        <f t="shared" si="35"/>
        <v>0</v>
      </c>
      <c r="E90" s="2">
        <f>'платные на 2022-2023 год'!E208</f>
        <v>0</v>
      </c>
      <c r="F90" s="2">
        <f>'платные на 2022-2023 год'!F208</f>
        <v>0</v>
      </c>
      <c r="G90" s="5">
        <f t="shared" si="36"/>
        <v>0</v>
      </c>
      <c r="H90" s="2">
        <f>'платные на 2022-2023 год'!H208</f>
        <v>0</v>
      </c>
      <c r="I90" s="2">
        <f>'платные на 2022-2023 год'!I208</f>
        <v>0</v>
      </c>
    </row>
    <row r="91" spans="1:9" ht="94.9" customHeight="1" x14ac:dyDescent="0.25">
      <c r="A91" s="115" t="s">
        <v>39</v>
      </c>
      <c r="B91" s="119">
        <v>244</v>
      </c>
      <c r="C91" s="119">
        <v>343</v>
      </c>
      <c r="D91" s="5">
        <f t="shared" si="35"/>
        <v>0</v>
      </c>
      <c r="E91" s="2">
        <f>'платные на 2022-2023 год'!E209</f>
        <v>0</v>
      </c>
      <c r="F91" s="2">
        <f>'платные на 2022-2023 год'!F209</f>
        <v>0</v>
      </c>
      <c r="G91" s="5">
        <f t="shared" si="36"/>
        <v>0</v>
      </c>
      <c r="H91" s="2">
        <f>'платные на 2022-2023 год'!H209</f>
        <v>0</v>
      </c>
      <c r="I91" s="2">
        <f>'платные на 2022-2023 год'!I209</f>
        <v>0</v>
      </c>
    </row>
    <row r="92" spans="1:9" ht="94.9" customHeight="1" x14ac:dyDescent="0.25">
      <c r="A92" s="115" t="s">
        <v>40</v>
      </c>
      <c r="B92" s="119">
        <v>244</v>
      </c>
      <c r="C92" s="119">
        <v>344</v>
      </c>
      <c r="D92" s="5">
        <f t="shared" si="35"/>
        <v>0</v>
      </c>
      <c r="E92" s="2">
        <f>'платные на 2022-2023 год'!E210</f>
        <v>0</v>
      </c>
      <c r="F92" s="2">
        <f>'платные на 2022-2023 год'!F210</f>
        <v>0</v>
      </c>
      <c r="G92" s="5">
        <f t="shared" si="36"/>
        <v>0</v>
      </c>
      <c r="H92" s="2">
        <f>'платные на 2022-2023 год'!H210</f>
        <v>0</v>
      </c>
      <c r="I92" s="2">
        <f>'платные на 2022-2023 год'!I210</f>
        <v>0</v>
      </c>
    </row>
    <row r="93" spans="1:9" ht="94.9" customHeight="1" x14ac:dyDescent="0.25">
      <c r="A93" s="115" t="s">
        <v>41</v>
      </c>
      <c r="B93" s="119">
        <v>244</v>
      </c>
      <c r="C93" s="119">
        <v>345</v>
      </c>
      <c r="D93" s="5">
        <f t="shared" si="35"/>
        <v>0</v>
      </c>
      <c r="E93" s="2">
        <f>'платные на 2022-2023 год'!E211</f>
        <v>0</v>
      </c>
      <c r="F93" s="2">
        <f>'платные на 2022-2023 год'!F211</f>
        <v>0</v>
      </c>
      <c r="G93" s="5">
        <f t="shared" si="36"/>
        <v>0</v>
      </c>
      <c r="H93" s="2">
        <f>'платные на 2022-2023 год'!H211</f>
        <v>0</v>
      </c>
      <c r="I93" s="2">
        <f>'платные на 2022-2023 год'!I211</f>
        <v>0</v>
      </c>
    </row>
    <row r="94" spans="1:9" ht="94.9" customHeight="1" x14ac:dyDescent="0.25">
      <c r="A94" s="115" t="s">
        <v>42</v>
      </c>
      <c r="B94" s="119">
        <v>244</v>
      </c>
      <c r="C94" s="119">
        <v>346</v>
      </c>
      <c r="D94" s="5">
        <f t="shared" si="35"/>
        <v>0</v>
      </c>
      <c r="E94" s="2">
        <f>'платные на 2022-2023 год'!E212</f>
        <v>0</v>
      </c>
      <c r="F94" s="2">
        <f>'платные на 2022-2023 год'!F212</f>
        <v>0</v>
      </c>
      <c r="G94" s="5">
        <f t="shared" si="36"/>
        <v>0</v>
      </c>
      <c r="H94" s="2">
        <f>'платные на 2022-2023 год'!H212</f>
        <v>0</v>
      </c>
      <c r="I94" s="2">
        <f>'платные на 2022-2023 год'!I212</f>
        <v>0</v>
      </c>
    </row>
    <row r="95" spans="1:9" ht="132.6" customHeight="1" x14ac:dyDescent="0.25">
      <c r="A95" s="115" t="s">
        <v>43</v>
      </c>
      <c r="B95" s="119">
        <v>244</v>
      </c>
      <c r="C95" s="119">
        <v>349</v>
      </c>
      <c r="D95" s="5">
        <f t="shared" si="35"/>
        <v>0</v>
      </c>
      <c r="E95" s="2">
        <f>'платные на 2022-2023 год'!E214</f>
        <v>0</v>
      </c>
      <c r="F95" s="2">
        <f>'платные на 2022-2023 год'!F214</f>
        <v>0</v>
      </c>
      <c r="G95" s="5">
        <f t="shared" si="36"/>
        <v>0</v>
      </c>
      <c r="H95" s="2">
        <f>'платные на 2022-2023 год'!H214</f>
        <v>0</v>
      </c>
      <c r="I95" s="2">
        <f>'платные на 2022-2023 год'!I214</f>
        <v>0</v>
      </c>
    </row>
    <row r="96" spans="1:9" x14ac:dyDescent="0.25">
      <c r="A96" s="11"/>
    </row>
    <row r="97" spans="1:6" ht="37.5" x14ac:dyDescent="0.3">
      <c r="A97" s="29" t="s">
        <v>52</v>
      </c>
      <c r="B97" s="224"/>
      <c r="C97" s="224"/>
      <c r="D97" s="10"/>
      <c r="E97" s="224"/>
      <c r="F97" s="224"/>
    </row>
    <row r="98" spans="1:6" ht="18.75" x14ac:dyDescent="0.3">
      <c r="A98" s="29"/>
      <c r="B98" s="223" t="s">
        <v>53</v>
      </c>
      <c r="C98" s="223"/>
      <c r="D98" s="10"/>
      <c r="E98" s="223" t="s">
        <v>54</v>
      </c>
      <c r="F98" s="223"/>
    </row>
    <row r="99" spans="1:6" ht="18.75" x14ac:dyDescent="0.3">
      <c r="A99" s="29"/>
      <c r="B99" s="10"/>
      <c r="C99" s="10"/>
      <c r="D99" s="10"/>
      <c r="E99" s="10"/>
      <c r="F99" s="10"/>
    </row>
    <row r="100" spans="1:6" ht="37.5" x14ac:dyDescent="0.3">
      <c r="A100" s="29" t="s">
        <v>55</v>
      </c>
      <c r="B100" s="224"/>
      <c r="C100" s="224"/>
      <c r="D100" s="10"/>
      <c r="E100" s="224"/>
      <c r="F100" s="224"/>
    </row>
    <row r="101" spans="1:6" ht="18.75" x14ac:dyDescent="0.3">
      <c r="A101" s="29"/>
      <c r="B101" s="223" t="s">
        <v>53</v>
      </c>
      <c r="C101" s="223"/>
      <c r="D101" s="10"/>
      <c r="E101" s="223" t="s">
        <v>54</v>
      </c>
      <c r="F101" s="223"/>
    </row>
    <row r="102" spans="1:6" ht="18.75" x14ac:dyDescent="0.3">
      <c r="A102" s="29"/>
      <c r="B102" s="116"/>
      <c r="C102" s="116"/>
      <c r="D102" s="10"/>
      <c r="E102" s="116"/>
      <c r="F102" s="116"/>
    </row>
    <row r="103" spans="1:6" ht="18.75" x14ac:dyDescent="0.3">
      <c r="A103" s="29" t="s">
        <v>56</v>
      </c>
      <c r="B103" s="224"/>
      <c r="C103" s="224"/>
      <c r="D103" s="10"/>
      <c r="E103" s="224"/>
      <c r="F103" s="224"/>
    </row>
    <row r="104" spans="1:6" ht="18.75" x14ac:dyDescent="0.3">
      <c r="A104" s="29"/>
      <c r="B104" s="223" t="s">
        <v>53</v>
      </c>
      <c r="C104" s="223"/>
      <c r="D104" s="10"/>
      <c r="E104" s="223" t="s">
        <v>54</v>
      </c>
      <c r="F104" s="223"/>
    </row>
    <row r="105" spans="1:6" ht="18.75" x14ac:dyDescent="0.3">
      <c r="A105" s="29" t="s">
        <v>57</v>
      </c>
      <c r="B105" s="10"/>
      <c r="C105" s="10"/>
      <c r="D105" s="10"/>
      <c r="E105" s="10"/>
      <c r="F105" s="10"/>
    </row>
    <row r="106" spans="1:6" ht="18.75" x14ac:dyDescent="0.3">
      <c r="A106" s="222" t="s">
        <v>44</v>
      </c>
      <c r="B106" s="222"/>
      <c r="C106" s="10"/>
      <c r="D106" s="10"/>
      <c r="E106" s="10"/>
      <c r="F106" s="10"/>
    </row>
  </sheetData>
  <mergeCells count="30">
    <mergeCell ref="B104:C104"/>
    <mergeCell ref="E104:F104"/>
    <mergeCell ref="A106:B106"/>
    <mergeCell ref="B100:C100"/>
    <mergeCell ref="E100:F100"/>
    <mergeCell ref="B101:C101"/>
    <mergeCell ref="E101:F101"/>
    <mergeCell ref="B103:C103"/>
    <mergeCell ref="E103:F103"/>
    <mergeCell ref="B98:C98"/>
    <mergeCell ref="E98:F98"/>
    <mergeCell ref="H6:I6"/>
    <mergeCell ref="E6:F6"/>
    <mergeCell ref="A12:I12"/>
    <mergeCell ref="A31:A32"/>
    <mergeCell ref="A34:A35"/>
    <mergeCell ref="A54:I54"/>
    <mergeCell ref="A73:A74"/>
    <mergeCell ref="A76:A77"/>
    <mergeCell ref="B97:C97"/>
    <mergeCell ref="E97:F97"/>
    <mergeCell ref="A1:I1"/>
    <mergeCell ref="A2:I2"/>
    <mergeCell ref="A5:A7"/>
    <mergeCell ref="B5:B7"/>
    <mergeCell ref="C5:C7"/>
    <mergeCell ref="D5:D7"/>
    <mergeCell ref="E5:F5"/>
    <mergeCell ref="G5:G7"/>
    <mergeCell ref="H5:I5"/>
  </mergeCells>
  <pageMargins left="1.3779527559055118" right="0.39370078740157483" top="0.98425196850393704" bottom="0.78740157480314965" header="0.31496062992125984" footer="0.31496062992125984"/>
  <pageSetup paperSize="9" scale="75" firstPageNumber="12" orientation="landscape" useFirstPageNumber="1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06"/>
  <sheetViews>
    <sheetView view="pageBreakPreview" topLeftCell="A334" zoomScale="60" zoomScaleNormal="100" workbookViewId="0">
      <selection activeCell="A366" sqref="A366:XFD373"/>
    </sheetView>
  </sheetViews>
  <sheetFormatPr defaultColWidth="8.85546875" defaultRowHeight="15" x14ac:dyDescent="0.25"/>
  <cols>
    <col min="1" max="1" width="21.7109375" style="7" customWidth="1"/>
    <col min="2" max="2" width="15.28515625" style="7" customWidth="1"/>
    <col min="3" max="6" width="16.42578125" style="7" customWidth="1"/>
    <col min="7" max="7" width="21.28515625" style="7" customWidth="1"/>
    <col min="8" max="8" width="18.7109375" style="7" bestFit="1" customWidth="1"/>
    <col min="9" max="10" width="13.7109375" style="7" bestFit="1" customWidth="1"/>
    <col min="11" max="11" width="14.28515625" style="7" bestFit="1" customWidth="1"/>
    <col min="12" max="16384" width="8.85546875" style="7"/>
  </cols>
  <sheetData>
    <row r="1" spans="1:11" ht="39" customHeight="1" x14ac:dyDescent="0.25">
      <c r="A1" s="6"/>
      <c r="E1" s="319"/>
      <c r="F1" s="319"/>
      <c r="G1" s="319"/>
    </row>
    <row r="2" spans="1:11" ht="40.15" customHeight="1" x14ac:dyDescent="0.25">
      <c r="A2" s="289" t="s">
        <v>257</v>
      </c>
      <c r="B2" s="289"/>
      <c r="C2" s="289"/>
      <c r="D2" s="289"/>
      <c r="E2" s="289"/>
      <c r="F2" s="289"/>
      <c r="G2" s="289"/>
    </row>
    <row r="3" spans="1:11" ht="18.75" x14ac:dyDescent="0.25">
      <c r="A3" s="108"/>
      <c r="B3" s="108"/>
      <c r="C3" s="108"/>
      <c r="D3" s="108"/>
      <c r="E3" s="108"/>
      <c r="F3" s="108"/>
      <c r="G3" s="108"/>
    </row>
    <row r="4" spans="1:11" ht="35.450000000000003" customHeight="1" x14ac:dyDescent="0.25">
      <c r="A4" s="289" t="s">
        <v>181</v>
      </c>
      <c r="B4" s="289"/>
      <c r="C4" s="289"/>
      <c r="D4" s="289"/>
      <c r="E4" s="289"/>
      <c r="F4" s="289"/>
      <c r="G4" s="289"/>
    </row>
    <row r="5" spans="1:11" ht="35.450000000000003" customHeight="1" x14ac:dyDescent="0.25">
      <c r="A5" s="289" t="s">
        <v>168</v>
      </c>
      <c r="B5" s="289"/>
      <c r="C5" s="289"/>
      <c r="D5" s="289"/>
      <c r="E5" s="289"/>
      <c r="F5" s="289"/>
      <c r="G5" s="289"/>
    </row>
    <row r="6" spans="1:11" ht="18.75" x14ac:dyDescent="0.25">
      <c r="A6" s="105"/>
    </row>
    <row r="7" spans="1:11" ht="18.75" x14ac:dyDescent="0.3">
      <c r="A7" s="9" t="s">
        <v>255</v>
      </c>
      <c r="B7" s="10">
        <v>120</v>
      </c>
      <c r="K7" s="81" t="s">
        <v>253</v>
      </c>
    </row>
    <row r="8" spans="1:11" x14ac:dyDescent="0.25">
      <c r="A8" s="11"/>
      <c r="H8" s="7" t="s">
        <v>252</v>
      </c>
      <c r="I8" s="7" t="s">
        <v>259</v>
      </c>
      <c r="J8" s="7" t="s">
        <v>258</v>
      </c>
    </row>
    <row r="9" spans="1:11" ht="79.900000000000006" customHeight="1" x14ac:dyDescent="0.25">
      <c r="A9" s="106" t="s">
        <v>86</v>
      </c>
      <c r="B9" s="275" t="s">
        <v>166</v>
      </c>
      <c r="C9" s="275"/>
      <c r="D9" s="275" t="s">
        <v>167</v>
      </c>
      <c r="E9" s="275"/>
      <c r="F9" s="275" t="s">
        <v>94</v>
      </c>
      <c r="G9" s="275"/>
      <c r="H9" s="50">
        <f>'платные на 2022-2023 год'!D8</f>
        <v>0</v>
      </c>
      <c r="I9" s="50">
        <f>F11+F20+F26+F32+D40+F48+F56+F64+F70+F78+F84+F92+F93+F94</f>
        <v>0</v>
      </c>
      <c r="J9" s="50">
        <f>G107+F116+F124+F132+F140+F148+F156+F162+F171+F177+F185+F193+F200+F207+F216+F223+F230+F239+F241+F243+F245+F247+F257+F266+F276+F285+F286+F287+F288+F289+F297+F306+F313+F325+F332+E343+F353+F355+F363+F372+F382+F384+F386+F388+F390+F392+F394-F171</f>
        <v>0</v>
      </c>
      <c r="K9" s="80">
        <f>H9+I9-J9</f>
        <v>0</v>
      </c>
    </row>
    <row r="10" spans="1:11" ht="18.75" x14ac:dyDescent="0.25">
      <c r="A10" s="106">
        <v>1</v>
      </c>
      <c r="B10" s="275">
        <v>2</v>
      </c>
      <c r="C10" s="275"/>
      <c r="D10" s="275">
        <v>3</v>
      </c>
      <c r="E10" s="275"/>
      <c r="F10" s="275">
        <v>4</v>
      </c>
      <c r="G10" s="275"/>
      <c r="H10" s="50"/>
      <c r="I10" s="50"/>
      <c r="J10" s="50"/>
      <c r="K10" s="50"/>
    </row>
    <row r="11" spans="1:11" ht="37.5" x14ac:dyDescent="0.25">
      <c r="A11" s="13" t="s">
        <v>169</v>
      </c>
      <c r="B11" s="275"/>
      <c r="C11" s="275"/>
      <c r="D11" s="275"/>
      <c r="E11" s="275"/>
      <c r="F11" s="281">
        <f>'платные на 2022 год '!D12</f>
        <v>0</v>
      </c>
      <c r="G11" s="281"/>
    </row>
    <row r="12" spans="1:11" ht="18.75" x14ac:dyDescent="0.25">
      <c r="A12" s="13" t="s">
        <v>120</v>
      </c>
      <c r="B12" s="275"/>
      <c r="C12" s="275"/>
      <c r="D12" s="275"/>
      <c r="E12" s="275"/>
      <c r="F12" s="275"/>
      <c r="G12" s="275"/>
    </row>
    <row r="13" spans="1:11" ht="18.75" x14ac:dyDescent="0.25">
      <c r="A13" s="105"/>
    </row>
    <row r="14" spans="1:11" ht="43.9" customHeight="1" x14ac:dyDescent="0.25">
      <c r="A14" s="289" t="s">
        <v>174</v>
      </c>
      <c r="B14" s="289"/>
      <c r="C14" s="289"/>
      <c r="D14" s="289"/>
      <c r="E14" s="289"/>
      <c r="F14" s="289"/>
      <c r="G14" s="289"/>
    </row>
    <row r="15" spans="1:11" ht="18.75" x14ac:dyDescent="0.25">
      <c r="A15" s="108"/>
      <c r="B15" s="108"/>
      <c r="C15" s="108"/>
      <c r="D15" s="108"/>
      <c r="E15" s="108"/>
      <c r="F15" s="108"/>
      <c r="G15" s="108"/>
    </row>
    <row r="16" spans="1:11" ht="18.75" x14ac:dyDescent="0.3">
      <c r="A16" s="9" t="s">
        <v>255</v>
      </c>
      <c r="B16" s="10">
        <v>130</v>
      </c>
    </row>
    <row r="17" spans="1:11" x14ac:dyDescent="0.25">
      <c r="A17" s="11"/>
    </row>
    <row r="18" spans="1:11" ht="55.9" customHeight="1" x14ac:dyDescent="0.25">
      <c r="A18" s="106" t="s">
        <v>86</v>
      </c>
      <c r="B18" s="275" t="s">
        <v>172</v>
      </c>
      <c r="C18" s="275"/>
      <c r="D18" s="275" t="s">
        <v>173</v>
      </c>
      <c r="E18" s="275"/>
      <c r="F18" s="275" t="s">
        <v>171</v>
      </c>
      <c r="G18" s="275"/>
    </row>
    <row r="19" spans="1:11" ht="18.75" x14ac:dyDescent="0.25">
      <c r="A19" s="106">
        <v>1</v>
      </c>
      <c r="B19" s="275">
        <v>2</v>
      </c>
      <c r="C19" s="275"/>
      <c r="D19" s="275">
        <v>3</v>
      </c>
      <c r="E19" s="275"/>
      <c r="F19" s="275">
        <v>4</v>
      </c>
      <c r="G19" s="275"/>
    </row>
    <row r="20" spans="1:11" ht="112.5" x14ac:dyDescent="0.25">
      <c r="A20" s="13" t="s">
        <v>170</v>
      </c>
      <c r="B20" s="275" t="s">
        <v>117</v>
      </c>
      <c r="C20" s="275"/>
      <c r="D20" s="275" t="s">
        <v>117</v>
      </c>
      <c r="E20" s="275"/>
      <c r="F20" s="281">
        <v>0</v>
      </c>
      <c r="G20" s="281"/>
      <c r="H20" s="50"/>
      <c r="I20" s="50"/>
      <c r="J20" s="50"/>
      <c r="K20" s="50"/>
    </row>
    <row r="21" spans="1:11" ht="18.75" x14ac:dyDescent="0.25">
      <c r="A21" s="105"/>
    </row>
    <row r="22" spans="1:11" ht="18.75" x14ac:dyDescent="0.3">
      <c r="A22" s="9" t="s">
        <v>255</v>
      </c>
      <c r="B22" s="10">
        <v>130</v>
      </c>
    </row>
    <row r="23" spans="1:11" x14ac:dyDescent="0.25">
      <c r="A23" s="11"/>
    </row>
    <row r="24" spans="1:11" ht="41.45" customHeight="1" x14ac:dyDescent="0.25">
      <c r="A24" s="106" t="s">
        <v>86</v>
      </c>
      <c r="B24" s="275" t="s">
        <v>172</v>
      </c>
      <c r="C24" s="275"/>
      <c r="D24" s="275" t="s">
        <v>173</v>
      </c>
      <c r="E24" s="275"/>
      <c r="F24" s="275" t="s">
        <v>94</v>
      </c>
      <c r="G24" s="275"/>
    </row>
    <row r="25" spans="1:11" ht="18.75" x14ac:dyDescent="0.25">
      <c r="A25" s="106">
        <v>1</v>
      </c>
      <c r="B25" s="275">
        <v>2</v>
      </c>
      <c r="C25" s="275"/>
      <c r="D25" s="275">
        <v>3</v>
      </c>
      <c r="E25" s="275"/>
      <c r="F25" s="275">
        <v>4</v>
      </c>
      <c r="G25" s="275"/>
    </row>
    <row r="26" spans="1:11" ht="75" x14ac:dyDescent="0.25">
      <c r="A26" s="13" t="s">
        <v>164</v>
      </c>
      <c r="B26" s="275"/>
      <c r="C26" s="275"/>
      <c r="D26" s="275"/>
      <c r="E26" s="275"/>
      <c r="F26" s="281">
        <f>'платные на 2022-2023 год'!D13</f>
        <v>0</v>
      </c>
      <c r="G26" s="281"/>
    </row>
    <row r="27" spans="1:11" ht="18.75" x14ac:dyDescent="0.25">
      <c r="A27" s="105"/>
    </row>
    <row r="28" spans="1:11" ht="18.75" x14ac:dyDescent="0.3">
      <c r="A28" s="9" t="s">
        <v>255</v>
      </c>
      <c r="B28" s="10">
        <v>150</v>
      </c>
    </row>
    <row r="29" spans="1:11" x14ac:dyDescent="0.25">
      <c r="A29" s="11"/>
    </row>
    <row r="30" spans="1:11" ht="42.6" customHeight="1" x14ac:dyDescent="0.25">
      <c r="A30" s="106" t="s">
        <v>86</v>
      </c>
      <c r="B30" s="275" t="s">
        <v>172</v>
      </c>
      <c r="C30" s="275"/>
      <c r="D30" s="275" t="s">
        <v>173</v>
      </c>
      <c r="E30" s="275"/>
      <c r="F30" s="275" t="s">
        <v>183</v>
      </c>
      <c r="G30" s="275"/>
    </row>
    <row r="31" spans="1:11" ht="18.75" x14ac:dyDescent="0.25">
      <c r="A31" s="106">
        <v>1</v>
      </c>
      <c r="B31" s="275">
        <v>2</v>
      </c>
      <c r="C31" s="275"/>
      <c r="D31" s="275">
        <v>3</v>
      </c>
      <c r="E31" s="275"/>
      <c r="F31" s="275">
        <v>4</v>
      </c>
      <c r="G31" s="275"/>
    </row>
    <row r="32" spans="1:11" ht="93.75" x14ac:dyDescent="0.25">
      <c r="A32" s="13" t="s">
        <v>271</v>
      </c>
      <c r="B32" s="275" t="s">
        <v>117</v>
      </c>
      <c r="C32" s="275"/>
      <c r="D32" s="275" t="s">
        <v>117</v>
      </c>
      <c r="E32" s="275"/>
      <c r="F32" s="281">
        <f>'платные на 2022-2023 год'!D15</f>
        <v>0</v>
      </c>
      <c r="G32" s="281"/>
    </row>
    <row r="33" spans="1:7" ht="18.75" x14ac:dyDescent="0.25">
      <c r="A33" s="105"/>
    </row>
    <row r="34" spans="1:7" ht="18.75" x14ac:dyDescent="0.25">
      <c r="A34" s="289" t="s">
        <v>176</v>
      </c>
      <c r="B34" s="289"/>
      <c r="C34" s="289"/>
      <c r="D34" s="289"/>
      <c r="E34" s="289"/>
      <c r="F34" s="289"/>
      <c r="G34" s="289"/>
    </row>
    <row r="35" spans="1:7" ht="18.75" x14ac:dyDescent="0.25">
      <c r="A35" s="105"/>
    </row>
    <row r="36" spans="1:7" ht="18.75" x14ac:dyDescent="0.3">
      <c r="A36" s="9" t="s">
        <v>255</v>
      </c>
      <c r="B36" s="10">
        <v>140</v>
      </c>
    </row>
    <row r="37" spans="1:7" x14ac:dyDescent="0.25">
      <c r="A37" s="11"/>
    </row>
    <row r="38" spans="1:7" ht="37.9" customHeight="1" x14ac:dyDescent="0.25">
      <c r="A38" s="257" t="s">
        <v>86</v>
      </c>
      <c r="B38" s="286"/>
      <c r="C38" s="258"/>
      <c r="D38" s="257" t="s">
        <v>165</v>
      </c>
      <c r="E38" s="286"/>
      <c r="F38" s="286"/>
      <c r="G38" s="258"/>
    </row>
    <row r="39" spans="1:7" ht="18.75" x14ac:dyDescent="0.25">
      <c r="A39" s="257">
        <v>1</v>
      </c>
      <c r="B39" s="286"/>
      <c r="C39" s="258"/>
      <c r="D39" s="257">
        <v>3</v>
      </c>
      <c r="E39" s="286"/>
      <c r="F39" s="286"/>
      <c r="G39" s="258"/>
    </row>
    <row r="40" spans="1:7" ht="18.75" x14ac:dyDescent="0.25">
      <c r="A40" s="252" t="s">
        <v>175</v>
      </c>
      <c r="B40" s="253"/>
      <c r="C40" s="254"/>
      <c r="D40" s="255">
        <f>'платные на 2022-2023 год'!D14</f>
        <v>0</v>
      </c>
      <c r="E40" s="310"/>
      <c r="F40" s="310"/>
      <c r="G40" s="256"/>
    </row>
    <row r="41" spans="1:7" ht="18.75" x14ac:dyDescent="0.25">
      <c r="A41" s="105"/>
    </row>
    <row r="42" spans="1:7" ht="18.75" x14ac:dyDescent="0.25">
      <c r="A42" s="289" t="s">
        <v>177</v>
      </c>
      <c r="B42" s="289"/>
      <c r="C42" s="289"/>
      <c r="D42" s="289"/>
      <c r="E42" s="289"/>
      <c r="F42" s="289"/>
      <c r="G42" s="289"/>
    </row>
    <row r="43" spans="1:7" ht="18.75" x14ac:dyDescent="0.25">
      <c r="A43" s="108"/>
      <c r="B43" s="108"/>
      <c r="C43" s="108"/>
      <c r="D43" s="108"/>
      <c r="E43" s="108"/>
      <c r="F43" s="108"/>
      <c r="G43" s="108"/>
    </row>
    <row r="44" spans="1:7" ht="18.75" x14ac:dyDescent="0.3">
      <c r="A44" s="9" t="s">
        <v>255</v>
      </c>
      <c r="B44" s="10">
        <v>180</v>
      </c>
    </row>
    <row r="45" spans="1:7" x14ac:dyDescent="0.25">
      <c r="A45" s="11"/>
    </row>
    <row r="46" spans="1:7" ht="57" customHeight="1" x14ac:dyDescent="0.25">
      <c r="A46" s="106" t="s">
        <v>86</v>
      </c>
      <c r="B46" s="275" t="s">
        <v>172</v>
      </c>
      <c r="C46" s="275"/>
      <c r="D46" s="275" t="s">
        <v>173</v>
      </c>
      <c r="E46" s="275"/>
      <c r="F46" s="275" t="s">
        <v>183</v>
      </c>
      <c r="G46" s="275"/>
    </row>
    <row r="47" spans="1:7" ht="18.75" x14ac:dyDescent="0.25">
      <c r="A47" s="106">
        <v>1</v>
      </c>
      <c r="B47" s="275">
        <v>2</v>
      </c>
      <c r="C47" s="275"/>
      <c r="D47" s="275">
        <v>3</v>
      </c>
      <c r="E47" s="275"/>
      <c r="F47" s="275">
        <v>4</v>
      </c>
      <c r="G47" s="275"/>
    </row>
    <row r="48" spans="1:7" ht="37.5" x14ac:dyDescent="0.25">
      <c r="A48" s="13" t="s">
        <v>272</v>
      </c>
      <c r="B48" s="275" t="s">
        <v>117</v>
      </c>
      <c r="C48" s="275"/>
      <c r="D48" s="275" t="s">
        <v>117</v>
      </c>
      <c r="E48" s="275"/>
      <c r="F48" s="281">
        <f>'платные на 2022-2023 год'!D16</f>
        <v>0</v>
      </c>
      <c r="G48" s="281"/>
    </row>
    <row r="49" spans="1:7" ht="18.75" x14ac:dyDescent="0.25">
      <c r="A49" s="105"/>
    </row>
    <row r="50" spans="1:7" ht="18.75" x14ac:dyDescent="0.25">
      <c r="A50" s="289" t="s">
        <v>187</v>
      </c>
      <c r="B50" s="289"/>
      <c r="C50" s="289"/>
      <c r="D50" s="289"/>
      <c r="E50" s="289"/>
      <c r="F50" s="289"/>
      <c r="G50" s="289"/>
    </row>
    <row r="51" spans="1:7" ht="18.75" x14ac:dyDescent="0.25">
      <c r="A51" s="105"/>
    </row>
    <row r="52" spans="1:7" ht="18.75" x14ac:dyDescent="0.3">
      <c r="A52" s="9" t="s">
        <v>255</v>
      </c>
      <c r="B52" s="10">
        <v>180</v>
      </c>
    </row>
    <row r="53" spans="1:7" x14ac:dyDescent="0.25">
      <c r="A53" s="11"/>
    </row>
    <row r="54" spans="1:7" ht="58.9" customHeight="1" x14ac:dyDescent="0.25">
      <c r="A54" s="106" t="s">
        <v>86</v>
      </c>
      <c r="B54" s="275" t="s">
        <v>172</v>
      </c>
      <c r="C54" s="275"/>
      <c r="D54" s="275" t="s">
        <v>173</v>
      </c>
      <c r="E54" s="275"/>
      <c r="F54" s="257" t="s">
        <v>171</v>
      </c>
      <c r="G54" s="258"/>
    </row>
    <row r="55" spans="1:7" ht="18.75" x14ac:dyDescent="0.25">
      <c r="A55" s="106">
        <v>1</v>
      </c>
      <c r="B55" s="275">
        <v>2</v>
      </c>
      <c r="C55" s="275"/>
      <c r="D55" s="275">
        <v>3</v>
      </c>
      <c r="E55" s="275"/>
      <c r="F55" s="275">
        <v>4</v>
      </c>
      <c r="G55" s="275"/>
    </row>
    <row r="56" spans="1:7" ht="58.9" customHeight="1" x14ac:dyDescent="0.25">
      <c r="A56" s="13" t="s">
        <v>184</v>
      </c>
      <c r="B56" s="275" t="s">
        <v>117</v>
      </c>
      <c r="C56" s="275"/>
      <c r="D56" s="275" t="s">
        <v>117</v>
      </c>
      <c r="E56" s="275"/>
      <c r="F56" s="281">
        <v>0</v>
      </c>
      <c r="G56" s="281"/>
    </row>
    <row r="57" spans="1:7" ht="18.75" x14ac:dyDescent="0.25">
      <c r="A57" s="105"/>
    </row>
    <row r="58" spans="1:7" ht="18.75" x14ac:dyDescent="0.25">
      <c r="A58" s="289" t="s">
        <v>178</v>
      </c>
      <c r="B58" s="289"/>
      <c r="C58" s="289"/>
      <c r="D58" s="289"/>
      <c r="E58" s="289"/>
      <c r="F58" s="289"/>
      <c r="G58" s="289"/>
    </row>
    <row r="59" spans="1:7" ht="18.75" x14ac:dyDescent="0.25">
      <c r="A59" s="105"/>
    </row>
    <row r="60" spans="1:7" ht="18.75" x14ac:dyDescent="0.3">
      <c r="A60" s="9" t="s">
        <v>255</v>
      </c>
      <c r="B60" s="10">
        <v>410</v>
      </c>
    </row>
    <row r="61" spans="1:7" x14ac:dyDescent="0.25">
      <c r="A61" s="11"/>
    </row>
    <row r="62" spans="1:7" ht="51.6" customHeight="1" x14ac:dyDescent="0.25">
      <c r="A62" s="106" t="s">
        <v>86</v>
      </c>
      <c r="B62" s="275" t="s">
        <v>142</v>
      </c>
      <c r="C62" s="275"/>
      <c r="D62" s="275" t="s">
        <v>182</v>
      </c>
      <c r="E62" s="275"/>
      <c r="F62" s="275" t="s">
        <v>94</v>
      </c>
      <c r="G62" s="275"/>
    </row>
    <row r="63" spans="1:7" ht="18.75" x14ac:dyDescent="0.25">
      <c r="A63" s="106">
        <v>1</v>
      </c>
      <c r="B63" s="275">
        <v>2</v>
      </c>
      <c r="C63" s="275"/>
      <c r="D63" s="275">
        <v>3</v>
      </c>
      <c r="E63" s="275"/>
      <c r="F63" s="275">
        <v>4</v>
      </c>
      <c r="G63" s="275"/>
    </row>
    <row r="64" spans="1:7" ht="56.25" x14ac:dyDescent="0.25">
      <c r="A64" s="13" t="s">
        <v>179</v>
      </c>
      <c r="B64" s="275" t="s">
        <v>117</v>
      </c>
      <c r="C64" s="275"/>
      <c r="D64" s="275" t="s">
        <v>117</v>
      </c>
      <c r="E64" s="275"/>
      <c r="F64" s="281">
        <f>'платные на 2022-2023 год'!D19</f>
        <v>0</v>
      </c>
      <c r="G64" s="281"/>
    </row>
    <row r="65" spans="1:7" ht="18.75" x14ac:dyDescent="0.25">
      <c r="A65" s="105"/>
    </row>
    <row r="66" spans="1:7" ht="18.75" x14ac:dyDescent="0.3">
      <c r="A66" s="9" t="s">
        <v>255</v>
      </c>
      <c r="B66" s="10">
        <v>440</v>
      </c>
    </row>
    <row r="67" spans="1:7" x14ac:dyDescent="0.25">
      <c r="A67" s="11"/>
    </row>
    <row r="68" spans="1:7" ht="36.6" customHeight="1" x14ac:dyDescent="0.25">
      <c r="A68" s="106" t="s">
        <v>86</v>
      </c>
      <c r="B68" s="275" t="s">
        <v>142</v>
      </c>
      <c r="C68" s="275"/>
      <c r="D68" s="275" t="s">
        <v>182</v>
      </c>
      <c r="E68" s="275"/>
      <c r="F68" s="275" t="s">
        <v>94</v>
      </c>
      <c r="G68" s="275"/>
    </row>
    <row r="69" spans="1:7" ht="18.75" x14ac:dyDescent="0.25">
      <c r="A69" s="106">
        <v>1</v>
      </c>
      <c r="B69" s="275">
        <v>2</v>
      </c>
      <c r="C69" s="275"/>
      <c r="D69" s="275">
        <v>3</v>
      </c>
      <c r="E69" s="275"/>
      <c r="F69" s="275">
        <v>4</v>
      </c>
      <c r="G69" s="275"/>
    </row>
    <row r="70" spans="1:7" ht="56.25" x14ac:dyDescent="0.25">
      <c r="A70" s="13" t="s">
        <v>179</v>
      </c>
      <c r="B70" s="275" t="s">
        <v>117</v>
      </c>
      <c r="C70" s="275"/>
      <c r="D70" s="275" t="s">
        <v>117</v>
      </c>
      <c r="E70" s="275"/>
      <c r="F70" s="281">
        <f>'платные на 2022-2023 год'!D20</f>
        <v>0</v>
      </c>
      <c r="G70" s="281"/>
    </row>
    <row r="71" spans="1:7" ht="18.75" x14ac:dyDescent="0.25">
      <c r="A71" s="15"/>
      <c r="B71" s="19"/>
      <c r="C71" s="19"/>
      <c r="D71" s="19"/>
      <c r="E71" s="19"/>
      <c r="F71" s="82"/>
      <c r="G71" s="82"/>
    </row>
    <row r="72" spans="1:7" ht="18.75" x14ac:dyDescent="0.25">
      <c r="A72" s="289" t="s">
        <v>254</v>
      </c>
      <c r="B72" s="289"/>
      <c r="C72" s="289"/>
      <c r="D72" s="289"/>
      <c r="E72" s="289"/>
      <c r="F72" s="289"/>
      <c r="G72" s="289"/>
    </row>
    <row r="73" spans="1:7" ht="18.75" x14ac:dyDescent="0.25">
      <c r="A73" s="15"/>
      <c r="B73" s="19"/>
      <c r="C73" s="19"/>
      <c r="D73" s="19"/>
      <c r="E73" s="19"/>
      <c r="F73" s="82"/>
      <c r="G73" s="82"/>
    </row>
    <row r="74" spans="1:7" ht="18.75" x14ac:dyDescent="0.3">
      <c r="A74" s="9" t="s">
        <v>255</v>
      </c>
      <c r="B74" s="10">
        <v>510</v>
      </c>
    </row>
    <row r="75" spans="1:7" x14ac:dyDescent="0.25">
      <c r="A75" s="11"/>
    </row>
    <row r="76" spans="1:7" ht="43.15" customHeight="1" x14ac:dyDescent="0.25">
      <c r="A76" s="106" t="s">
        <v>86</v>
      </c>
      <c r="B76" s="275" t="s">
        <v>142</v>
      </c>
      <c r="C76" s="275"/>
      <c r="D76" s="275" t="s">
        <v>182</v>
      </c>
      <c r="E76" s="275"/>
      <c r="F76" s="275" t="s">
        <v>94</v>
      </c>
      <c r="G76" s="275"/>
    </row>
    <row r="77" spans="1:7" ht="18.75" x14ac:dyDescent="0.25">
      <c r="A77" s="106">
        <v>1</v>
      </c>
      <c r="B77" s="275">
        <v>2</v>
      </c>
      <c r="C77" s="275"/>
      <c r="D77" s="275">
        <v>3</v>
      </c>
      <c r="E77" s="275"/>
      <c r="F77" s="275">
        <v>4</v>
      </c>
      <c r="G77" s="275"/>
    </row>
    <row r="78" spans="1:7" ht="150" x14ac:dyDescent="0.25">
      <c r="A78" s="13" t="s">
        <v>70</v>
      </c>
      <c r="B78" s="275" t="s">
        <v>117</v>
      </c>
      <c r="C78" s="275"/>
      <c r="D78" s="275" t="s">
        <v>117</v>
      </c>
      <c r="E78" s="275"/>
      <c r="F78" s="281">
        <f>'платные на 2022-2023 год'!D23</f>
        <v>0</v>
      </c>
      <c r="G78" s="281"/>
    </row>
    <row r="79" spans="1:7" ht="18.75" x14ac:dyDescent="0.25">
      <c r="A79" s="15"/>
      <c r="B79" s="19"/>
      <c r="C79" s="19"/>
      <c r="D79" s="19"/>
      <c r="E79" s="19"/>
      <c r="F79" s="82"/>
      <c r="G79" s="82"/>
    </row>
    <row r="80" spans="1:7" ht="18.75" x14ac:dyDescent="0.3">
      <c r="A80" s="9" t="s">
        <v>255</v>
      </c>
      <c r="B80" s="10">
        <v>510</v>
      </c>
    </row>
    <row r="81" spans="1:7" x14ac:dyDescent="0.25">
      <c r="A81" s="11"/>
    </row>
    <row r="82" spans="1:7" ht="39" customHeight="1" x14ac:dyDescent="0.25">
      <c r="A82" s="106" t="s">
        <v>86</v>
      </c>
      <c r="B82" s="275" t="s">
        <v>142</v>
      </c>
      <c r="C82" s="275"/>
      <c r="D82" s="275" t="s">
        <v>182</v>
      </c>
      <c r="E82" s="275"/>
      <c r="F82" s="275" t="s">
        <v>94</v>
      </c>
      <c r="G82" s="275"/>
    </row>
    <row r="83" spans="1:7" ht="18.75" x14ac:dyDescent="0.25">
      <c r="A83" s="106">
        <v>1</v>
      </c>
      <c r="B83" s="275">
        <v>2</v>
      </c>
      <c r="C83" s="275"/>
      <c r="D83" s="275">
        <v>3</v>
      </c>
      <c r="E83" s="275"/>
      <c r="F83" s="275">
        <v>4</v>
      </c>
      <c r="G83" s="275"/>
    </row>
    <row r="84" spans="1:7" ht="187.5" x14ac:dyDescent="0.25">
      <c r="A84" s="13" t="s">
        <v>273</v>
      </c>
      <c r="B84" s="275" t="s">
        <v>117</v>
      </c>
      <c r="C84" s="275"/>
      <c r="D84" s="275" t="s">
        <v>117</v>
      </c>
      <c r="E84" s="275"/>
      <c r="F84" s="281">
        <f>'платные на 2022-2023 год'!D24</f>
        <v>0</v>
      </c>
      <c r="G84" s="281"/>
    </row>
    <row r="85" spans="1:7" ht="18.75" x14ac:dyDescent="0.25">
      <c r="A85" s="15"/>
      <c r="B85" s="19"/>
      <c r="C85" s="19"/>
      <c r="D85" s="19"/>
      <c r="E85" s="19"/>
      <c r="F85" s="19"/>
      <c r="G85" s="19"/>
    </row>
    <row r="86" spans="1:7" ht="18.75" x14ac:dyDescent="0.25">
      <c r="A86" s="289" t="s">
        <v>260</v>
      </c>
      <c r="B86" s="289"/>
      <c r="C86" s="289"/>
      <c r="D86" s="289"/>
      <c r="E86" s="289"/>
      <c r="F86" s="289"/>
      <c r="G86" s="289"/>
    </row>
    <row r="87" spans="1:7" ht="18.75" x14ac:dyDescent="0.25">
      <c r="A87" s="15"/>
      <c r="B87" s="19"/>
      <c r="C87" s="19"/>
      <c r="D87" s="19"/>
      <c r="E87" s="19"/>
      <c r="F87" s="82"/>
      <c r="G87" s="82"/>
    </row>
    <row r="88" spans="1:7" ht="18.75" x14ac:dyDescent="0.3">
      <c r="A88" s="9" t="s">
        <v>255</v>
      </c>
      <c r="B88" s="10">
        <v>180</v>
      </c>
    </row>
    <row r="89" spans="1:7" x14ac:dyDescent="0.25">
      <c r="A89" s="11"/>
    </row>
    <row r="90" spans="1:7" ht="43.9" customHeight="1" x14ac:dyDescent="0.25">
      <c r="A90" s="106" t="s">
        <v>86</v>
      </c>
      <c r="B90" s="275" t="s">
        <v>142</v>
      </c>
      <c r="C90" s="275"/>
      <c r="D90" s="275" t="s">
        <v>182</v>
      </c>
      <c r="E90" s="275"/>
      <c r="F90" s="275" t="s">
        <v>94</v>
      </c>
      <c r="G90" s="275"/>
    </row>
    <row r="91" spans="1:7" ht="18.75" x14ac:dyDescent="0.25">
      <c r="A91" s="106">
        <v>1</v>
      </c>
      <c r="B91" s="275">
        <v>2</v>
      </c>
      <c r="C91" s="275"/>
      <c r="D91" s="275">
        <v>3</v>
      </c>
      <c r="E91" s="275"/>
      <c r="F91" s="275">
        <v>4</v>
      </c>
      <c r="G91" s="275"/>
    </row>
    <row r="92" spans="1:7" ht="37.5" x14ac:dyDescent="0.25">
      <c r="A92" s="103" t="s">
        <v>194</v>
      </c>
      <c r="B92" s="257" t="s">
        <v>117</v>
      </c>
      <c r="C92" s="258"/>
      <c r="D92" s="257" t="s">
        <v>117</v>
      </c>
      <c r="E92" s="258"/>
      <c r="F92" s="281">
        <f>'платные на 2022-2023 год'!D108</f>
        <v>0</v>
      </c>
      <c r="G92" s="275"/>
    </row>
    <row r="93" spans="1:7" ht="56.25" x14ac:dyDescent="0.25">
      <c r="A93" s="103" t="s">
        <v>195</v>
      </c>
      <c r="B93" s="257" t="s">
        <v>117</v>
      </c>
      <c r="C93" s="258"/>
      <c r="D93" s="257" t="s">
        <v>117</v>
      </c>
      <c r="E93" s="258"/>
      <c r="F93" s="281">
        <f>'платные на 2022-2023 год'!D109</f>
        <v>0</v>
      </c>
      <c r="G93" s="275"/>
    </row>
    <row r="94" spans="1:7" ht="57" thickBot="1" x14ac:dyDescent="0.3">
      <c r="A94" s="32" t="s">
        <v>196</v>
      </c>
      <c r="B94" s="257" t="s">
        <v>117</v>
      </c>
      <c r="C94" s="258"/>
      <c r="D94" s="257" t="s">
        <v>117</v>
      </c>
      <c r="E94" s="258"/>
      <c r="F94" s="281">
        <f>'платные на 2022-2023 год'!D110</f>
        <v>0</v>
      </c>
      <c r="G94" s="275"/>
    </row>
    <row r="95" spans="1:7" ht="18.75" x14ac:dyDescent="0.25">
      <c r="A95" s="15"/>
      <c r="B95" s="19"/>
      <c r="C95" s="19"/>
      <c r="D95" s="19"/>
      <c r="E95" s="19"/>
      <c r="F95" s="19"/>
      <c r="G95" s="19"/>
    </row>
    <row r="96" spans="1:7" ht="48.6" customHeight="1" x14ac:dyDescent="0.25">
      <c r="A96" s="289" t="s">
        <v>188</v>
      </c>
      <c r="B96" s="289"/>
      <c r="C96" s="289"/>
      <c r="D96" s="289"/>
      <c r="E96" s="289"/>
      <c r="F96" s="289"/>
      <c r="G96" s="289"/>
    </row>
    <row r="97" spans="1:7" ht="18.75" x14ac:dyDescent="0.25">
      <c r="A97" s="8"/>
    </row>
    <row r="98" spans="1:7" ht="18.75" x14ac:dyDescent="0.25">
      <c r="A98" s="274" t="s">
        <v>189</v>
      </c>
      <c r="B98" s="274"/>
      <c r="C98" s="274"/>
      <c r="D98" s="274"/>
      <c r="E98" s="274"/>
      <c r="F98" s="274"/>
      <c r="G98" s="274"/>
    </row>
    <row r="99" spans="1:7" ht="18.75" x14ac:dyDescent="0.25">
      <c r="A99" s="9"/>
    </row>
    <row r="100" spans="1:7" ht="18.75" x14ac:dyDescent="0.3">
      <c r="A100" s="9" t="s">
        <v>145</v>
      </c>
      <c r="B100" s="10">
        <v>111</v>
      </c>
    </row>
    <row r="101" spans="1:7" x14ac:dyDescent="0.25">
      <c r="A101" s="11"/>
    </row>
    <row r="102" spans="1:7" ht="54" customHeight="1" x14ac:dyDescent="0.25">
      <c r="A102" s="275" t="s">
        <v>76</v>
      </c>
      <c r="B102" s="275" t="s">
        <v>77</v>
      </c>
      <c r="C102" s="275" t="s">
        <v>78</v>
      </c>
      <c r="D102" s="275"/>
      <c r="E102" s="275"/>
      <c r="F102" s="275"/>
      <c r="G102" s="275" t="s">
        <v>79</v>
      </c>
    </row>
    <row r="103" spans="1:7" ht="18.75" x14ac:dyDescent="0.25">
      <c r="A103" s="275"/>
      <c r="B103" s="275"/>
      <c r="C103" s="275" t="s">
        <v>80</v>
      </c>
      <c r="D103" s="275" t="s">
        <v>6</v>
      </c>
      <c r="E103" s="275"/>
      <c r="F103" s="275"/>
      <c r="G103" s="275"/>
    </row>
    <row r="104" spans="1:7" ht="75" x14ac:dyDescent="0.25">
      <c r="A104" s="275"/>
      <c r="B104" s="275"/>
      <c r="C104" s="275"/>
      <c r="D104" s="12" t="s">
        <v>81</v>
      </c>
      <c r="E104" s="12" t="s">
        <v>82</v>
      </c>
      <c r="F104" s="12" t="s">
        <v>83</v>
      </c>
      <c r="G104" s="275"/>
    </row>
    <row r="105" spans="1:7" ht="18.75" x14ac:dyDescent="0.25">
      <c r="A105" s="106">
        <v>1</v>
      </c>
      <c r="B105" s="106">
        <v>2</v>
      </c>
      <c r="C105" s="106">
        <v>3</v>
      </c>
      <c r="D105" s="106">
        <v>4</v>
      </c>
      <c r="E105" s="106">
        <v>4</v>
      </c>
      <c r="F105" s="106">
        <v>5</v>
      </c>
      <c r="G105" s="106">
        <v>7</v>
      </c>
    </row>
    <row r="106" spans="1:7" ht="18.75" x14ac:dyDescent="0.25">
      <c r="A106" s="106"/>
      <c r="B106" s="106"/>
      <c r="C106" s="107"/>
      <c r="D106" s="107"/>
      <c r="E106" s="107"/>
      <c r="F106" s="107"/>
      <c r="G106" s="107"/>
    </row>
    <row r="107" spans="1:7" ht="18.75" x14ac:dyDescent="0.25">
      <c r="A107" s="106" t="s">
        <v>146</v>
      </c>
      <c r="B107" s="106"/>
      <c r="C107" s="107"/>
      <c r="D107" s="107"/>
      <c r="E107" s="107"/>
      <c r="F107" s="107"/>
      <c r="G107" s="107">
        <f>'платные на 2022-2023 год'!D31+'платные на 2022-2023 год'!D67</f>
        <v>0</v>
      </c>
    </row>
    <row r="108" spans="1:7" ht="18.75" x14ac:dyDescent="0.25">
      <c r="A108" s="8"/>
    </row>
    <row r="109" spans="1:7" ht="18.75" x14ac:dyDescent="0.25">
      <c r="A109" s="274" t="s">
        <v>180</v>
      </c>
      <c r="B109" s="274"/>
      <c r="C109" s="274"/>
      <c r="D109" s="274"/>
      <c r="E109" s="274"/>
      <c r="F109" s="274"/>
      <c r="G109" s="274"/>
    </row>
    <row r="110" spans="1:7" ht="18.75" x14ac:dyDescent="0.25">
      <c r="A110" s="111"/>
      <c r="B110" s="111"/>
      <c r="C110" s="111"/>
      <c r="D110" s="111"/>
      <c r="E110" s="111"/>
      <c r="F110" s="111"/>
      <c r="G110" s="111"/>
    </row>
    <row r="111" spans="1:7" ht="18.75" x14ac:dyDescent="0.3">
      <c r="A111" s="9" t="s">
        <v>145</v>
      </c>
      <c r="B111" s="10">
        <v>119</v>
      </c>
    </row>
    <row r="112" spans="1:7" x14ac:dyDescent="0.25">
      <c r="A112" s="11"/>
    </row>
    <row r="113" spans="1:7" ht="129" customHeight="1" x14ac:dyDescent="0.25">
      <c r="A113" s="275" t="s">
        <v>84</v>
      </c>
      <c r="B113" s="275" t="s">
        <v>244</v>
      </c>
      <c r="C113" s="275"/>
      <c r="D113" s="275" t="s">
        <v>185</v>
      </c>
      <c r="E113" s="275"/>
      <c r="F113" s="275" t="s">
        <v>85</v>
      </c>
      <c r="G113" s="275"/>
    </row>
    <row r="114" spans="1:7" ht="15" customHeight="1" x14ac:dyDescent="0.25">
      <c r="A114" s="275"/>
      <c r="B114" s="275"/>
      <c r="C114" s="275"/>
      <c r="D114" s="275"/>
      <c r="E114" s="275"/>
      <c r="F114" s="275"/>
      <c r="G114" s="275"/>
    </row>
    <row r="115" spans="1:7" ht="18.75" x14ac:dyDescent="0.25">
      <c r="A115" s="106">
        <v>1</v>
      </c>
      <c r="B115" s="275">
        <v>2</v>
      </c>
      <c r="C115" s="275"/>
      <c r="D115" s="275">
        <v>3</v>
      </c>
      <c r="E115" s="275"/>
      <c r="F115" s="275">
        <v>4</v>
      </c>
      <c r="G115" s="275"/>
    </row>
    <row r="116" spans="1:7" ht="18.75" x14ac:dyDescent="0.25">
      <c r="A116" s="13"/>
      <c r="B116" s="281">
        <f>'платные на 2022-2023 год'!D31+'платные на 2022-2023 год'!D33+'платные на 2022-2023 год'!D67</f>
        <v>0</v>
      </c>
      <c r="C116" s="281"/>
      <c r="D116" s="281">
        <f>G107</f>
        <v>0</v>
      </c>
      <c r="E116" s="281"/>
      <c r="F116" s="281">
        <f>B116-D116</f>
        <v>0</v>
      </c>
      <c r="G116" s="281"/>
    </row>
    <row r="117" spans="1:7" ht="18.75" x14ac:dyDescent="0.25">
      <c r="A117" s="8"/>
    </row>
    <row r="118" spans="1:7" ht="51" customHeight="1" x14ac:dyDescent="0.25">
      <c r="A118" s="282" t="s">
        <v>203</v>
      </c>
      <c r="B118" s="282"/>
      <c r="C118" s="282"/>
      <c r="D118" s="282"/>
      <c r="E118" s="282"/>
      <c r="F118" s="282"/>
      <c r="G118" s="282"/>
    </row>
    <row r="119" spans="1:7" ht="18.75" x14ac:dyDescent="0.25">
      <c r="A119" s="9"/>
    </row>
    <row r="120" spans="1:7" ht="18.75" x14ac:dyDescent="0.3">
      <c r="A120" s="9" t="s">
        <v>147</v>
      </c>
      <c r="B120" s="10">
        <v>112</v>
      </c>
    </row>
    <row r="121" spans="1:7" x14ac:dyDescent="0.25">
      <c r="A121" s="11"/>
    </row>
    <row r="122" spans="1:7" ht="108.6" customHeight="1" x14ac:dyDescent="0.25">
      <c r="A122" s="106" t="s">
        <v>86</v>
      </c>
      <c r="B122" s="106" t="s">
        <v>87</v>
      </c>
      <c r="C122" s="275" t="s">
        <v>88</v>
      </c>
      <c r="D122" s="275"/>
      <c r="E122" s="106" t="s">
        <v>89</v>
      </c>
      <c r="F122" s="275" t="s">
        <v>90</v>
      </c>
      <c r="G122" s="275"/>
    </row>
    <row r="123" spans="1:7" ht="18.75" x14ac:dyDescent="0.25">
      <c r="A123" s="106">
        <v>1</v>
      </c>
      <c r="B123" s="106">
        <v>2</v>
      </c>
      <c r="C123" s="275">
        <v>3</v>
      </c>
      <c r="D123" s="275"/>
      <c r="E123" s="106">
        <v>4</v>
      </c>
      <c r="F123" s="275">
        <v>5</v>
      </c>
      <c r="G123" s="275"/>
    </row>
    <row r="124" spans="1:7" ht="18.75" x14ac:dyDescent="0.25">
      <c r="A124" s="13" t="s">
        <v>91</v>
      </c>
      <c r="B124" s="109"/>
      <c r="C124" s="275"/>
      <c r="D124" s="275"/>
      <c r="E124" s="14"/>
      <c r="F124" s="281">
        <f>'платные на 2022-2023 год'!D32</f>
        <v>0</v>
      </c>
      <c r="G124" s="281"/>
    </row>
    <row r="125" spans="1:7" ht="18.75" x14ac:dyDescent="0.25">
      <c r="A125" s="8"/>
    </row>
    <row r="126" spans="1:7" ht="33" customHeight="1" x14ac:dyDescent="0.25">
      <c r="A126" s="282" t="s">
        <v>227</v>
      </c>
      <c r="B126" s="282"/>
      <c r="C126" s="282"/>
      <c r="D126" s="282"/>
      <c r="E126" s="282"/>
      <c r="F126" s="282"/>
      <c r="G126" s="282"/>
    </row>
    <row r="127" spans="1:7" ht="18.75" x14ac:dyDescent="0.25">
      <c r="A127" s="9"/>
    </row>
    <row r="128" spans="1:7" ht="18.75" x14ac:dyDescent="0.3">
      <c r="A128" s="9" t="s">
        <v>147</v>
      </c>
      <c r="B128" s="10">
        <v>112</v>
      </c>
    </row>
    <row r="129" spans="1:7" x14ac:dyDescent="0.25">
      <c r="A129" s="11"/>
    </row>
    <row r="130" spans="1:7" ht="37.5" x14ac:dyDescent="0.25">
      <c r="A130" s="106" t="s">
        <v>86</v>
      </c>
      <c r="B130" s="106" t="s">
        <v>228</v>
      </c>
      <c r="C130" s="257" t="s">
        <v>229</v>
      </c>
      <c r="D130" s="286"/>
      <c r="E130" s="258"/>
      <c r="F130" s="275" t="s">
        <v>94</v>
      </c>
      <c r="G130" s="275"/>
    </row>
    <row r="131" spans="1:7" ht="18.75" x14ac:dyDescent="0.25">
      <c r="A131" s="106">
        <v>1</v>
      </c>
      <c r="B131" s="106">
        <v>2</v>
      </c>
      <c r="C131" s="257">
        <v>3</v>
      </c>
      <c r="D131" s="286"/>
      <c r="E131" s="258"/>
      <c r="F131" s="275">
        <v>4</v>
      </c>
      <c r="G131" s="275"/>
    </row>
    <row r="132" spans="1:7" ht="18.75" x14ac:dyDescent="0.25">
      <c r="A132" s="13"/>
      <c r="B132" s="109"/>
      <c r="C132" s="257"/>
      <c r="D132" s="286"/>
      <c r="E132" s="258"/>
      <c r="F132" s="281">
        <f>'платные на 2022-2023 год'!D35</f>
        <v>0</v>
      </c>
      <c r="G132" s="281"/>
    </row>
    <row r="133" spans="1:7" ht="18.75" x14ac:dyDescent="0.25">
      <c r="A133" s="15"/>
      <c r="B133" s="16"/>
      <c r="C133" s="19"/>
      <c r="D133" s="19"/>
      <c r="E133" s="20"/>
      <c r="F133" s="19"/>
      <c r="G133" s="19"/>
    </row>
    <row r="134" spans="1:7" ht="38.450000000000003" customHeight="1" x14ac:dyDescent="0.25">
      <c r="A134" s="282" t="s">
        <v>204</v>
      </c>
      <c r="B134" s="282"/>
      <c r="C134" s="282"/>
      <c r="D134" s="282"/>
      <c r="E134" s="282"/>
      <c r="F134" s="282"/>
      <c r="G134" s="282"/>
    </row>
    <row r="135" spans="1:7" ht="18.75" x14ac:dyDescent="0.25">
      <c r="A135" s="9"/>
    </row>
    <row r="136" spans="1:7" ht="18.75" x14ac:dyDescent="0.3">
      <c r="A136" s="9" t="s">
        <v>145</v>
      </c>
      <c r="B136" s="10">
        <v>112</v>
      </c>
    </row>
    <row r="137" spans="1:7" x14ac:dyDescent="0.25">
      <c r="A137" s="11"/>
    </row>
    <row r="138" spans="1:7" ht="75" x14ac:dyDescent="0.25">
      <c r="A138" s="275" t="s">
        <v>86</v>
      </c>
      <c r="B138" s="275"/>
      <c r="C138" s="106" t="s">
        <v>92</v>
      </c>
      <c r="D138" s="275" t="s">
        <v>93</v>
      </c>
      <c r="E138" s="275"/>
      <c r="F138" s="275" t="s">
        <v>94</v>
      </c>
      <c r="G138" s="275"/>
    </row>
    <row r="139" spans="1:7" ht="18.75" x14ac:dyDescent="0.25">
      <c r="A139" s="257">
        <v>1</v>
      </c>
      <c r="B139" s="258"/>
      <c r="C139" s="106">
        <v>2</v>
      </c>
      <c r="D139" s="257">
        <v>3</v>
      </c>
      <c r="E139" s="258"/>
      <c r="F139" s="257">
        <v>4</v>
      </c>
      <c r="G139" s="258"/>
    </row>
    <row r="140" spans="1:7" ht="18.75" x14ac:dyDescent="0.25">
      <c r="A140" s="257"/>
      <c r="B140" s="258"/>
      <c r="C140" s="106"/>
      <c r="D140" s="257"/>
      <c r="E140" s="258"/>
      <c r="F140" s="255">
        <f>'платные на 2022-2023 год'!D41</f>
        <v>0</v>
      </c>
      <c r="G140" s="256"/>
    </row>
    <row r="141" spans="1:7" ht="18.75" x14ac:dyDescent="0.25">
      <c r="A141" s="8"/>
    </row>
    <row r="142" spans="1:7" ht="36.6" customHeight="1" x14ac:dyDescent="0.25">
      <c r="A142" s="282" t="s">
        <v>205</v>
      </c>
      <c r="B142" s="282"/>
      <c r="C142" s="282"/>
      <c r="D142" s="282"/>
      <c r="E142" s="282"/>
      <c r="F142" s="282"/>
      <c r="G142" s="282"/>
    </row>
    <row r="143" spans="1:7" ht="18.75" x14ac:dyDescent="0.25">
      <c r="A143" s="110"/>
      <c r="B143" s="110"/>
      <c r="C143" s="110"/>
      <c r="D143" s="110"/>
      <c r="E143" s="110"/>
      <c r="F143" s="110"/>
      <c r="G143" s="110"/>
    </row>
    <row r="144" spans="1:7" ht="18.75" x14ac:dyDescent="0.3">
      <c r="A144" s="9" t="s">
        <v>147</v>
      </c>
      <c r="B144" s="10">
        <v>112</v>
      </c>
    </row>
    <row r="145" spans="1:7" x14ac:dyDescent="0.25">
      <c r="A145" s="11"/>
    </row>
    <row r="146" spans="1:7" ht="108.6" customHeight="1" x14ac:dyDescent="0.25">
      <c r="A146" s="106" t="s">
        <v>86</v>
      </c>
      <c r="B146" s="106" t="s">
        <v>87</v>
      </c>
      <c r="C146" s="275" t="s">
        <v>88</v>
      </c>
      <c r="D146" s="275"/>
      <c r="E146" s="106" t="s">
        <v>89</v>
      </c>
      <c r="F146" s="275" t="s">
        <v>90</v>
      </c>
      <c r="G146" s="275"/>
    </row>
    <row r="147" spans="1:7" ht="18.75" x14ac:dyDescent="0.25">
      <c r="A147" s="106">
        <v>1</v>
      </c>
      <c r="B147" s="106">
        <v>2</v>
      </c>
      <c r="C147" s="275">
        <v>3</v>
      </c>
      <c r="D147" s="275"/>
      <c r="E147" s="106">
        <v>4</v>
      </c>
      <c r="F147" s="275">
        <v>5</v>
      </c>
      <c r="G147" s="275"/>
    </row>
    <row r="148" spans="1:7" ht="37.5" x14ac:dyDescent="0.25">
      <c r="A148" s="13" t="s">
        <v>95</v>
      </c>
      <c r="B148" s="109"/>
      <c r="C148" s="275"/>
      <c r="D148" s="275"/>
      <c r="E148" s="14"/>
      <c r="F148" s="281">
        <f>'платные на 2022-2023 год'!D55</f>
        <v>0</v>
      </c>
      <c r="G148" s="281"/>
    </row>
    <row r="149" spans="1:7" ht="18.75" x14ac:dyDescent="0.25">
      <c r="A149" s="8"/>
    </row>
    <row r="150" spans="1:7" ht="41.45" customHeight="1" x14ac:dyDescent="0.25">
      <c r="A150" s="282" t="s">
        <v>206</v>
      </c>
      <c r="B150" s="282"/>
      <c r="C150" s="282"/>
      <c r="D150" s="282"/>
      <c r="E150" s="282"/>
      <c r="F150" s="282"/>
      <c r="G150" s="282"/>
    </row>
    <row r="151" spans="1:7" ht="18.75" x14ac:dyDescent="0.25">
      <c r="A151" s="9"/>
    </row>
    <row r="152" spans="1:7" ht="18.75" x14ac:dyDescent="0.3">
      <c r="A152" s="9" t="s">
        <v>145</v>
      </c>
      <c r="B152" s="10">
        <v>113</v>
      </c>
    </row>
    <row r="153" spans="1:7" x14ac:dyDescent="0.25">
      <c r="A153" s="11"/>
    </row>
    <row r="154" spans="1:7" ht="108.6" customHeight="1" x14ac:dyDescent="0.25">
      <c r="A154" s="106" t="s">
        <v>86</v>
      </c>
      <c r="B154" s="106" t="s">
        <v>96</v>
      </c>
      <c r="C154" s="275" t="s">
        <v>97</v>
      </c>
      <c r="D154" s="275"/>
      <c r="E154" s="106" t="s">
        <v>89</v>
      </c>
      <c r="F154" s="275" t="s">
        <v>90</v>
      </c>
      <c r="G154" s="275"/>
    </row>
    <row r="155" spans="1:7" ht="18.75" x14ac:dyDescent="0.3">
      <c r="A155" s="106">
        <v>1</v>
      </c>
      <c r="B155" s="106">
        <v>2</v>
      </c>
      <c r="C155" s="275">
        <v>3</v>
      </c>
      <c r="D155" s="275"/>
      <c r="E155" s="106">
        <v>4</v>
      </c>
      <c r="F155" s="248">
        <v>5</v>
      </c>
      <c r="G155" s="249"/>
    </row>
    <row r="156" spans="1:7" ht="93.75" x14ac:dyDescent="0.25">
      <c r="A156" s="13" t="s">
        <v>98</v>
      </c>
      <c r="B156" s="107"/>
      <c r="C156" s="281"/>
      <c r="D156" s="281"/>
      <c r="E156" s="79"/>
      <c r="F156" s="299">
        <f>'платные на 2022-2023 год'!D56</f>
        <v>0</v>
      </c>
      <c r="G156" s="300"/>
    </row>
    <row r="157" spans="1:7" ht="18.75" x14ac:dyDescent="0.25">
      <c r="A157" s="8"/>
    </row>
    <row r="158" spans="1:7" ht="18.75" x14ac:dyDescent="0.3">
      <c r="A158" s="9" t="s">
        <v>145</v>
      </c>
      <c r="B158" s="10">
        <v>119</v>
      </c>
    </row>
    <row r="159" spans="1:7" x14ac:dyDescent="0.25">
      <c r="A159" s="11"/>
    </row>
    <row r="160" spans="1:7" ht="56.25" x14ac:dyDescent="0.25">
      <c r="A160" s="106" t="s">
        <v>86</v>
      </c>
      <c r="B160" s="106" t="s">
        <v>96</v>
      </c>
      <c r="C160" s="275" t="s">
        <v>97</v>
      </c>
      <c r="D160" s="275"/>
      <c r="E160" s="106" t="s">
        <v>89</v>
      </c>
      <c r="F160" s="275" t="s">
        <v>90</v>
      </c>
      <c r="G160" s="275"/>
    </row>
    <row r="161" spans="1:7" ht="18.75" x14ac:dyDescent="0.3">
      <c r="A161" s="106">
        <v>1</v>
      </c>
      <c r="B161" s="106">
        <v>2</v>
      </c>
      <c r="C161" s="275">
        <v>3</v>
      </c>
      <c r="D161" s="275"/>
      <c r="E161" s="106">
        <v>4</v>
      </c>
      <c r="F161" s="248">
        <v>5</v>
      </c>
      <c r="G161" s="249"/>
    </row>
    <row r="162" spans="1:7" ht="75" x14ac:dyDescent="0.25">
      <c r="A162" s="13" t="s">
        <v>157</v>
      </c>
      <c r="B162" s="107"/>
      <c r="C162" s="281"/>
      <c r="D162" s="281"/>
      <c r="E162" s="79"/>
      <c r="F162" s="299">
        <f>'платные на 2022-2023 год'!D57</f>
        <v>0</v>
      </c>
      <c r="G162" s="300"/>
    </row>
    <row r="163" spans="1:7" ht="18.75" x14ac:dyDescent="0.25">
      <c r="A163" s="13" t="s">
        <v>120</v>
      </c>
      <c r="B163" s="109"/>
      <c r="C163" s="257"/>
      <c r="D163" s="258"/>
      <c r="E163" s="14"/>
      <c r="F163" s="338"/>
      <c r="G163" s="340"/>
    </row>
    <row r="164" spans="1:7" ht="18.75" x14ac:dyDescent="0.25">
      <c r="A164" s="8"/>
    </row>
    <row r="165" spans="1:7" ht="36" customHeight="1" x14ac:dyDescent="0.25">
      <c r="A165" s="282" t="s">
        <v>207</v>
      </c>
      <c r="B165" s="282"/>
      <c r="C165" s="282"/>
      <c r="D165" s="282"/>
      <c r="E165" s="282"/>
      <c r="F165" s="282"/>
      <c r="G165" s="282"/>
    </row>
    <row r="166" spans="1:7" ht="18.75" x14ac:dyDescent="0.25">
      <c r="A166" s="110"/>
      <c r="B166" s="110"/>
      <c r="C166" s="110"/>
      <c r="D166" s="110"/>
      <c r="E166" s="110"/>
      <c r="F166" s="110"/>
      <c r="G166" s="110"/>
    </row>
    <row r="167" spans="1:7" ht="18.75" x14ac:dyDescent="0.3">
      <c r="A167" s="9" t="s">
        <v>145</v>
      </c>
      <c r="B167" s="10">
        <v>111</v>
      </c>
    </row>
    <row r="168" spans="1:7" x14ac:dyDescent="0.25">
      <c r="A168" s="11"/>
    </row>
    <row r="169" spans="1:7" ht="72.599999999999994" customHeight="1" x14ac:dyDescent="0.25">
      <c r="A169" s="106" t="s">
        <v>86</v>
      </c>
      <c r="B169" s="275" t="s">
        <v>99</v>
      </c>
      <c r="C169" s="275"/>
      <c r="D169" s="275" t="s">
        <v>100</v>
      </c>
      <c r="E169" s="275"/>
      <c r="F169" s="275" t="s">
        <v>101</v>
      </c>
      <c r="G169" s="275"/>
    </row>
    <row r="170" spans="1:7" ht="18.75" x14ac:dyDescent="0.3">
      <c r="A170" s="106">
        <v>1</v>
      </c>
      <c r="B170" s="257">
        <v>2</v>
      </c>
      <c r="C170" s="258"/>
      <c r="D170" s="257">
        <v>3</v>
      </c>
      <c r="E170" s="258"/>
      <c r="F170" s="248">
        <v>4</v>
      </c>
      <c r="G170" s="249"/>
    </row>
    <row r="171" spans="1:7" ht="93.75" x14ac:dyDescent="0.25">
      <c r="A171" s="13" t="s">
        <v>102</v>
      </c>
      <c r="B171" s="257"/>
      <c r="C171" s="258"/>
      <c r="D171" s="257"/>
      <c r="E171" s="258"/>
      <c r="F171" s="299">
        <f>'платные на 2022-2023 год'!D67</f>
        <v>0</v>
      </c>
      <c r="G171" s="300"/>
    </row>
    <row r="172" spans="1:7" ht="18.75" x14ac:dyDescent="0.25">
      <c r="A172" s="15"/>
      <c r="B172" s="16"/>
      <c r="C172" s="16"/>
      <c r="D172" s="16"/>
      <c r="E172" s="16"/>
      <c r="F172" s="17"/>
      <c r="G172" s="17"/>
    </row>
    <row r="173" spans="1:7" ht="18.75" x14ac:dyDescent="0.3">
      <c r="A173" s="9" t="s">
        <v>145</v>
      </c>
      <c r="B173" s="10">
        <v>112</v>
      </c>
    </row>
    <row r="174" spans="1:7" x14ac:dyDescent="0.25">
      <c r="A174" s="11"/>
    </row>
    <row r="175" spans="1:7" ht="112.5" x14ac:dyDescent="0.25">
      <c r="A175" s="106" t="s">
        <v>86</v>
      </c>
      <c r="B175" s="106" t="s">
        <v>99</v>
      </c>
      <c r="C175" s="106" t="s">
        <v>103</v>
      </c>
      <c r="D175" s="275" t="s">
        <v>104</v>
      </c>
      <c r="E175" s="275"/>
      <c r="F175" s="275" t="s">
        <v>90</v>
      </c>
      <c r="G175" s="275"/>
    </row>
    <row r="176" spans="1:7" ht="18.75" x14ac:dyDescent="0.25">
      <c r="A176" s="106">
        <v>1</v>
      </c>
      <c r="B176" s="106">
        <v>2</v>
      </c>
      <c r="C176" s="106">
        <v>3</v>
      </c>
      <c r="D176" s="275">
        <v>4</v>
      </c>
      <c r="E176" s="275"/>
      <c r="F176" s="275">
        <v>5</v>
      </c>
      <c r="G176" s="275"/>
    </row>
    <row r="177" spans="1:7" ht="56.25" x14ac:dyDescent="0.25">
      <c r="A177" s="13" t="s">
        <v>105</v>
      </c>
      <c r="B177" s="109"/>
      <c r="C177" s="106"/>
      <c r="D177" s="257"/>
      <c r="E177" s="258"/>
      <c r="F177" s="255">
        <f>'платные на 2022-2023 год'!D70</f>
        <v>0</v>
      </c>
      <c r="G177" s="256"/>
    </row>
    <row r="178" spans="1:7" ht="18.75" x14ac:dyDescent="0.25">
      <c r="A178" s="8"/>
    </row>
    <row r="179" spans="1:7" ht="31.9" customHeight="1" x14ac:dyDescent="0.25">
      <c r="A179" s="274" t="s">
        <v>208</v>
      </c>
      <c r="B179" s="274"/>
      <c r="C179" s="274"/>
      <c r="D179" s="274"/>
      <c r="E179" s="274"/>
      <c r="F179" s="274"/>
      <c r="G179" s="274"/>
    </row>
    <row r="180" spans="1:7" ht="15.75" x14ac:dyDescent="0.25">
      <c r="A180" s="18"/>
    </row>
    <row r="181" spans="1:7" ht="18.75" x14ac:dyDescent="0.3">
      <c r="A181" s="9" t="s">
        <v>147</v>
      </c>
      <c r="B181" s="10">
        <v>321</v>
      </c>
    </row>
    <row r="182" spans="1:7" x14ac:dyDescent="0.25">
      <c r="A182" s="11"/>
    </row>
    <row r="183" spans="1:7" ht="72.599999999999994" customHeight="1" x14ac:dyDescent="0.25">
      <c r="A183" s="106" t="s">
        <v>86</v>
      </c>
      <c r="B183" s="275" t="s">
        <v>106</v>
      </c>
      <c r="C183" s="275"/>
      <c r="D183" s="275" t="s">
        <v>107</v>
      </c>
      <c r="E183" s="275"/>
      <c r="F183" s="275" t="s">
        <v>108</v>
      </c>
      <c r="G183" s="275"/>
    </row>
    <row r="184" spans="1:7" ht="18.75" x14ac:dyDescent="0.25">
      <c r="A184" s="106">
        <v>1</v>
      </c>
      <c r="B184" s="257">
        <v>2</v>
      </c>
      <c r="C184" s="258"/>
      <c r="D184" s="257">
        <v>3</v>
      </c>
      <c r="E184" s="258"/>
      <c r="F184" s="257">
        <v>4</v>
      </c>
      <c r="G184" s="258"/>
    </row>
    <row r="185" spans="1:7" ht="131.25" x14ac:dyDescent="0.25">
      <c r="A185" s="13" t="s">
        <v>27</v>
      </c>
      <c r="B185" s="275"/>
      <c r="C185" s="275"/>
      <c r="D185" s="275"/>
      <c r="E185" s="275"/>
      <c r="F185" s="281">
        <f>'платные на 2022-2023 год'!D64</f>
        <v>0</v>
      </c>
      <c r="G185" s="281"/>
    </row>
    <row r="186" spans="1:7" ht="18.75" x14ac:dyDescent="0.25">
      <c r="A186" s="13" t="s">
        <v>156</v>
      </c>
      <c r="B186" s="275"/>
      <c r="C186" s="275"/>
      <c r="D186" s="275"/>
      <c r="E186" s="275"/>
      <c r="F186" s="281"/>
      <c r="G186" s="281"/>
    </row>
    <row r="187" spans="1:7" ht="18.75" x14ac:dyDescent="0.25">
      <c r="A187" s="8"/>
    </row>
    <row r="188" spans="1:7" ht="34.9" customHeight="1" x14ac:dyDescent="0.25">
      <c r="A188" s="282" t="s">
        <v>226</v>
      </c>
      <c r="B188" s="282"/>
      <c r="C188" s="282"/>
      <c r="D188" s="282"/>
      <c r="E188" s="282"/>
      <c r="F188" s="282"/>
      <c r="G188" s="282"/>
    </row>
    <row r="189" spans="1:7" ht="18.75" x14ac:dyDescent="0.3">
      <c r="A189" s="9" t="s">
        <v>145</v>
      </c>
      <c r="B189" s="10">
        <v>851</v>
      </c>
    </row>
    <row r="190" spans="1:7" x14ac:dyDescent="0.25">
      <c r="A190" s="11"/>
    </row>
    <row r="191" spans="1:7" ht="126.6" customHeight="1" x14ac:dyDescent="0.25">
      <c r="A191" s="106" t="s">
        <v>86</v>
      </c>
      <c r="B191" s="275" t="s">
        <v>109</v>
      </c>
      <c r="C191" s="275"/>
      <c r="D191" s="275" t="s">
        <v>110</v>
      </c>
      <c r="E191" s="275"/>
      <c r="F191" s="275" t="s">
        <v>111</v>
      </c>
      <c r="G191" s="275"/>
    </row>
    <row r="192" spans="1:7" ht="18.75" x14ac:dyDescent="0.25">
      <c r="A192" s="106">
        <v>1</v>
      </c>
      <c r="B192" s="257">
        <v>2</v>
      </c>
      <c r="C192" s="258"/>
      <c r="D192" s="287">
        <v>3</v>
      </c>
      <c r="E192" s="288"/>
      <c r="F192" s="287">
        <v>4</v>
      </c>
      <c r="G192" s="288"/>
    </row>
    <row r="193" spans="1:7" ht="37.5" x14ac:dyDescent="0.25">
      <c r="A193" s="13" t="s">
        <v>112</v>
      </c>
      <c r="B193" s="287"/>
      <c r="C193" s="288"/>
      <c r="D193" s="287"/>
      <c r="E193" s="288"/>
      <c r="F193" s="342">
        <f>'платные на 2022-2023 год'!D74</f>
        <v>0</v>
      </c>
      <c r="G193" s="343"/>
    </row>
    <row r="194" spans="1:7" ht="37.5" x14ac:dyDescent="0.25">
      <c r="A194" s="13" t="s">
        <v>113</v>
      </c>
      <c r="B194" s="287"/>
      <c r="C194" s="288"/>
      <c r="D194" s="287"/>
      <c r="E194" s="288"/>
      <c r="F194" s="344"/>
      <c r="G194" s="345"/>
    </row>
    <row r="195" spans="1:7" ht="18.75" x14ac:dyDescent="0.25">
      <c r="A195" s="15"/>
      <c r="B195" s="16"/>
      <c r="C195" s="19"/>
      <c r="D195" s="20"/>
      <c r="E195" s="21"/>
      <c r="F195" s="21"/>
      <c r="G195" s="21"/>
    </row>
    <row r="196" spans="1:7" ht="18.75" x14ac:dyDescent="0.25">
      <c r="A196" s="9" t="s">
        <v>114</v>
      </c>
    </row>
    <row r="197" spans="1:7" x14ac:dyDescent="0.25">
      <c r="A197" s="11"/>
    </row>
    <row r="198" spans="1:7" ht="36.6" customHeight="1" x14ac:dyDescent="0.25">
      <c r="A198" s="106" t="s">
        <v>86</v>
      </c>
      <c r="B198" s="275" t="s">
        <v>109</v>
      </c>
      <c r="C198" s="275"/>
      <c r="D198" s="275" t="s">
        <v>110</v>
      </c>
      <c r="E198" s="275"/>
      <c r="F198" s="275" t="s">
        <v>115</v>
      </c>
      <c r="G198" s="275"/>
    </row>
    <row r="199" spans="1:7" ht="18.75" x14ac:dyDescent="0.3">
      <c r="A199" s="106">
        <v>1</v>
      </c>
      <c r="B199" s="257">
        <v>2</v>
      </c>
      <c r="C199" s="258"/>
      <c r="D199" s="257">
        <v>3</v>
      </c>
      <c r="E199" s="258"/>
      <c r="F199" s="248">
        <v>4</v>
      </c>
      <c r="G199" s="249"/>
    </row>
    <row r="200" spans="1:7" ht="39" customHeight="1" x14ac:dyDescent="0.25">
      <c r="A200" s="13" t="s">
        <v>116</v>
      </c>
      <c r="B200" s="257" t="s">
        <v>117</v>
      </c>
      <c r="C200" s="258"/>
      <c r="D200" s="257" t="s">
        <v>117</v>
      </c>
      <c r="E200" s="258"/>
      <c r="F200" s="299">
        <f>'платные на 2022-2023 год'!D75</f>
        <v>0</v>
      </c>
      <c r="G200" s="301"/>
    </row>
    <row r="201" spans="1:7" ht="18.75" x14ac:dyDescent="0.25">
      <c r="A201" s="13" t="s">
        <v>118</v>
      </c>
      <c r="B201" s="287"/>
      <c r="C201" s="288"/>
      <c r="D201" s="287"/>
      <c r="E201" s="288"/>
      <c r="F201" s="287"/>
      <c r="G201" s="288"/>
    </row>
    <row r="202" spans="1:7" ht="18.75" x14ac:dyDescent="0.25">
      <c r="A202" s="9"/>
    </row>
    <row r="203" spans="1:7" ht="18.75" x14ac:dyDescent="0.25">
      <c r="A203" s="9" t="s">
        <v>119</v>
      </c>
    </row>
    <row r="204" spans="1:7" x14ac:dyDescent="0.25">
      <c r="A204" s="11"/>
    </row>
    <row r="205" spans="1:7" ht="72.599999999999994" customHeight="1" x14ac:dyDescent="0.25">
      <c r="A205" s="106" t="s">
        <v>86</v>
      </c>
      <c r="B205" s="275" t="s">
        <v>109</v>
      </c>
      <c r="C205" s="275"/>
      <c r="D205" s="275" t="s">
        <v>110</v>
      </c>
      <c r="E205" s="275"/>
      <c r="F205" s="275" t="s">
        <v>115</v>
      </c>
      <c r="G205" s="275"/>
    </row>
    <row r="206" spans="1:7" ht="18.75" x14ac:dyDescent="0.3">
      <c r="A206" s="106">
        <v>1</v>
      </c>
      <c r="B206" s="257">
        <v>2</v>
      </c>
      <c r="C206" s="258"/>
      <c r="D206" s="257">
        <v>3</v>
      </c>
      <c r="E206" s="258"/>
      <c r="F206" s="248">
        <v>4</v>
      </c>
      <c r="G206" s="249"/>
    </row>
    <row r="207" spans="1:7" ht="49.15" customHeight="1" x14ac:dyDescent="0.25">
      <c r="A207" s="13" t="s">
        <v>155</v>
      </c>
      <c r="B207" s="257" t="s">
        <v>117</v>
      </c>
      <c r="C207" s="258"/>
      <c r="D207" s="257" t="s">
        <v>117</v>
      </c>
      <c r="E207" s="258"/>
      <c r="F207" s="299">
        <f>'платные на 2022-2023 год'!D76</f>
        <v>0</v>
      </c>
      <c r="G207" s="300"/>
    </row>
    <row r="208" spans="1:7" ht="15" customHeight="1" x14ac:dyDescent="0.25">
      <c r="A208" s="13" t="s">
        <v>118</v>
      </c>
      <c r="B208" s="287"/>
      <c r="C208" s="288"/>
      <c r="D208" s="287"/>
      <c r="E208" s="288"/>
      <c r="F208" s="336"/>
      <c r="G208" s="337"/>
    </row>
    <row r="209" spans="1:7" ht="18.75" x14ac:dyDescent="0.25">
      <c r="A209" s="8"/>
    </row>
    <row r="210" spans="1:7" ht="45" customHeight="1" x14ac:dyDescent="0.25">
      <c r="A210" s="282" t="s">
        <v>209</v>
      </c>
      <c r="B210" s="282"/>
      <c r="C210" s="282"/>
      <c r="D210" s="282"/>
      <c r="E210" s="282"/>
      <c r="F210" s="282"/>
      <c r="G210" s="282"/>
    </row>
    <row r="211" spans="1:7" ht="15.75" x14ac:dyDescent="0.25">
      <c r="A211" s="18"/>
    </row>
    <row r="212" spans="1:7" ht="18.75" x14ac:dyDescent="0.3">
      <c r="A212" s="9" t="s">
        <v>145</v>
      </c>
      <c r="B212" s="52" t="s">
        <v>210</v>
      </c>
      <c r="C212" s="51"/>
    </row>
    <row r="213" spans="1:7" x14ac:dyDescent="0.25">
      <c r="A213" s="11"/>
    </row>
    <row r="214" spans="1:7" ht="67.900000000000006" customHeight="1" x14ac:dyDescent="0.25">
      <c r="A214" s="106" t="s">
        <v>86</v>
      </c>
      <c r="B214" s="275" t="s">
        <v>106</v>
      </c>
      <c r="C214" s="275"/>
      <c r="D214" s="275" t="s">
        <v>107</v>
      </c>
      <c r="E214" s="275"/>
      <c r="F214" s="275" t="s">
        <v>108</v>
      </c>
      <c r="G214" s="275"/>
    </row>
    <row r="215" spans="1:7" ht="18.75" x14ac:dyDescent="0.25">
      <c r="A215" s="106">
        <v>1</v>
      </c>
      <c r="B215" s="275">
        <v>2</v>
      </c>
      <c r="C215" s="275"/>
      <c r="D215" s="275">
        <v>3</v>
      </c>
      <c r="E215" s="275"/>
      <c r="F215" s="275">
        <v>4</v>
      </c>
      <c r="G215" s="275"/>
    </row>
    <row r="216" spans="1:7" ht="18.75" x14ac:dyDescent="0.25">
      <c r="A216" s="13"/>
      <c r="B216" s="313"/>
      <c r="C216" s="313"/>
      <c r="D216" s="313"/>
      <c r="E216" s="313"/>
      <c r="F216" s="314">
        <f>'платные на 2022-2023 год'!D82</f>
        <v>0</v>
      </c>
      <c r="G216" s="314"/>
    </row>
    <row r="217" spans="1:7" ht="18.75" x14ac:dyDescent="0.25">
      <c r="A217" s="13"/>
      <c r="B217" s="313"/>
      <c r="C217" s="313"/>
      <c r="D217" s="313"/>
      <c r="E217" s="313"/>
      <c r="F217" s="314"/>
      <c r="G217" s="314"/>
    </row>
    <row r="218" spans="1:7" ht="18" customHeight="1" x14ac:dyDescent="0.25">
      <c r="A218" s="8"/>
    </row>
    <row r="219" spans="1:7" ht="18" customHeight="1" x14ac:dyDescent="0.3">
      <c r="A219" s="9" t="s">
        <v>145</v>
      </c>
      <c r="B219" s="52" t="s">
        <v>211</v>
      </c>
      <c r="C219" s="51"/>
    </row>
    <row r="220" spans="1:7" ht="18" customHeight="1" x14ac:dyDescent="0.25">
      <c r="A220" s="11"/>
    </row>
    <row r="221" spans="1:7" ht="44.45" customHeight="1" x14ac:dyDescent="0.25">
      <c r="A221" s="106" t="s">
        <v>86</v>
      </c>
      <c r="B221" s="275" t="s">
        <v>106</v>
      </c>
      <c r="C221" s="275"/>
      <c r="D221" s="275" t="s">
        <v>107</v>
      </c>
      <c r="E221" s="275"/>
      <c r="F221" s="275" t="s">
        <v>108</v>
      </c>
      <c r="G221" s="275"/>
    </row>
    <row r="222" spans="1:7" ht="18" customHeight="1" x14ac:dyDescent="0.25">
      <c r="A222" s="106">
        <v>1</v>
      </c>
      <c r="B222" s="275">
        <v>2</v>
      </c>
      <c r="C222" s="275"/>
      <c r="D222" s="275">
        <v>3</v>
      </c>
      <c r="E222" s="275"/>
      <c r="F222" s="275">
        <v>4</v>
      </c>
      <c r="G222" s="275"/>
    </row>
    <row r="223" spans="1:7" ht="18" customHeight="1" x14ac:dyDescent="0.25">
      <c r="A223" s="13"/>
      <c r="B223" s="313"/>
      <c r="C223" s="313"/>
      <c r="D223" s="313"/>
      <c r="E223" s="313"/>
      <c r="F223" s="314">
        <f>'платные на 2022-2023 год'!D83</f>
        <v>0</v>
      </c>
      <c r="G223" s="314"/>
    </row>
    <row r="224" spans="1:7" ht="18" customHeight="1" x14ac:dyDescent="0.25">
      <c r="A224" s="13"/>
      <c r="B224" s="313"/>
      <c r="C224" s="313"/>
      <c r="D224" s="313"/>
      <c r="E224" s="313"/>
      <c r="F224" s="314"/>
      <c r="G224" s="314"/>
    </row>
    <row r="225" spans="1:7" ht="18" customHeight="1" x14ac:dyDescent="0.25">
      <c r="A225" s="8"/>
    </row>
    <row r="226" spans="1:7" ht="18" customHeight="1" x14ac:dyDescent="0.3">
      <c r="A226" s="9" t="s">
        <v>145</v>
      </c>
      <c r="B226" s="52" t="s">
        <v>212</v>
      </c>
      <c r="C226" s="51"/>
    </row>
    <row r="227" spans="1:7" ht="18" customHeight="1" x14ac:dyDescent="0.25">
      <c r="A227" s="11"/>
    </row>
    <row r="228" spans="1:7" ht="37.15" customHeight="1" x14ac:dyDescent="0.25">
      <c r="A228" s="106" t="s">
        <v>86</v>
      </c>
      <c r="B228" s="275" t="s">
        <v>106</v>
      </c>
      <c r="C228" s="275"/>
      <c r="D228" s="275" t="s">
        <v>107</v>
      </c>
      <c r="E228" s="275"/>
      <c r="F228" s="275" t="s">
        <v>108</v>
      </c>
      <c r="G228" s="275"/>
    </row>
    <row r="229" spans="1:7" ht="18" customHeight="1" x14ac:dyDescent="0.25">
      <c r="A229" s="106">
        <v>1</v>
      </c>
      <c r="B229" s="275">
        <v>2</v>
      </c>
      <c r="C229" s="275"/>
      <c r="D229" s="275">
        <v>3</v>
      </c>
      <c r="E229" s="275"/>
      <c r="F229" s="275">
        <v>4</v>
      </c>
      <c r="G229" s="275"/>
    </row>
    <row r="230" spans="1:7" ht="18" customHeight="1" x14ac:dyDescent="0.25">
      <c r="A230" s="13"/>
      <c r="B230" s="313"/>
      <c r="C230" s="313"/>
      <c r="D230" s="313"/>
      <c r="E230" s="313"/>
      <c r="F230" s="314">
        <f>'платные на 2022-2023 год'!D84</f>
        <v>0</v>
      </c>
      <c r="G230" s="314"/>
    </row>
    <row r="231" spans="1:7" ht="18" customHeight="1" x14ac:dyDescent="0.25">
      <c r="A231" s="13"/>
      <c r="B231" s="313"/>
      <c r="C231" s="313"/>
      <c r="D231" s="313"/>
      <c r="E231" s="313"/>
      <c r="F231" s="314"/>
      <c r="G231" s="314"/>
    </row>
    <row r="232" spans="1:7" ht="18" customHeight="1" x14ac:dyDescent="0.25">
      <c r="A232" s="15"/>
      <c r="B232" s="16"/>
      <c r="C232" s="16"/>
      <c r="D232" s="16"/>
      <c r="E232" s="16"/>
      <c r="F232" s="16"/>
      <c r="G232" s="16"/>
    </row>
    <row r="233" spans="1:7" ht="43.15" customHeight="1" x14ac:dyDescent="0.25">
      <c r="A233" s="282" t="s">
        <v>213</v>
      </c>
      <c r="B233" s="282"/>
      <c r="C233" s="282"/>
      <c r="D233" s="282"/>
      <c r="E233" s="282"/>
      <c r="F233" s="282"/>
      <c r="G233" s="282"/>
    </row>
    <row r="234" spans="1:7" ht="18" customHeight="1" x14ac:dyDescent="0.3">
      <c r="A234" s="9" t="s">
        <v>145</v>
      </c>
      <c r="B234" s="10">
        <v>853</v>
      </c>
    </row>
    <row r="235" spans="1:7" ht="18" customHeight="1" x14ac:dyDescent="0.25">
      <c r="A235" s="11"/>
    </row>
    <row r="236" spans="1:7" ht="54.6" customHeight="1" x14ac:dyDescent="0.25">
      <c r="A236" s="106" t="s">
        <v>86</v>
      </c>
      <c r="B236" s="275" t="s">
        <v>109</v>
      </c>
      <c r="C236" s="275"/>
      <c r="D236" s="275" t="s">
        <v>110</v>
      </c>
      <c r="E236" s="275"/>
      <c r="F236" s="275" t="s">
        <v>111</v>
      </c>
      <c r="G236" s="275"/>
    </row>
    <row r="237" spans="1:7" ht="18" customHeight="1" x14ac:dyDescent="0.25">
      <c r="A237" s="106">
        <v>1</v>
      </c>
      <c r="B237" s="275">
        <v>2</v>
      </c>
      <c r="C237" s="275"/>
      <c r="D237" s="275">
        <v>3</v>
      </c>
      <c r="E237" s="275"/>
      <c r="F237" s="275">
        <v>4</v>
      </c>
      <c r="G237" s="275"/>
    </row>
    <row r="238" spans="1:7" ht="18" customHeight="1" x14ac:dyDescent="0.25">
      <c r="A238" s="106"/>
      <c r="B238" s="257"/>
      <c r="C238" s="258"/>
      <c r="D238" s="257"/>
      <c r="E238" s="258"/>
      <c r="F238" s="257"/>
      <c r="G238" s="258"/>
    </row>
    <row r="239" spans="1:7" ht="18" customHeight="1" x14ac:dyDescent="0.25">
      <c r="A239" s="106" t="s">
        <v>245</v>
      </c>
      <c r="B239" s="257"/>
      <c r="C239" s="258"/>
      <c r="D239" s="257"/>
      <c r="E239" s="258"/>
      <c r="F239" s="255">
        <f>'платные на 2022-2023 год'!D77</f>
        <v>0</v>
      </c>
      <c r="G239" s="258"/>
    </row>
    <row r="240" spans="1:7" ht="18" customHeight="1" x14ac:dyDescent="0.25">
      <c r="A240" s="106"/>
      <c r="B240" s="257"/>
      <c r="C240" s="258"/>
      <c r="D240" s="257"/>
      <c r="E240" s="258"/>
      <c r="F240" s="257"/>
      <c r="G240" s="258"/>
    </row>
    <row r="241" spans="1:7" ht="18" customHeight="1" x14ac:dyDescent="0.25">
      <c r="A241" s="106" t="s">
        <v>246</v>
      </c>
      <c r="B241" s="257"/>
      <c r="C241" s="258"/>
      <c r="D241" s="257"/>
      <c r="E241" s="258"/>
      <c r="F241" s="255">
        <f>'платные на 2022-2023 год'!D78</f>
        <v>0</v>
      </c>
      <c r="G241" s="258"/>
    </row>
    <row r="242" spans="1:7" ht="18" customHeight="1" x14ac:dyDescent="0.25">
      <c r="A242" s="106"/>
      <c r="B242" s="257"/>
      <c r="C242" s="258"/>
      <c r="D242" s="257"/>
      <c r="E242" s="258"/>
      <c r="F242" s="257"/>
      <c r="G242" s="258"/>
    </row>
    <row r="243" spans="1:7" ht="18" customHeight="1" x14ac:dyDescent="0.25">
      <c r="A243" s="106" t="s">
        <v>247</v>
      </c>
      <c r="B243" s="257"/>
      <c r="C243" s="258"/>
      <c r="D243" s="257"/>
      <c r="E243" s="258"/>
      <c r="F243" s="255">
        <f>'платные на 2022-2023 год'!D79</f>
        <v>0</v>
      </c>
      <c r="G243" s="258"/>
    </row>
    <row r="244" spans="1:7" ht="18" customHeight="1" x14ac:dyDescent="0.25">
      <c r="A244" s="106"/>
      <c r="B244" s="257"/>
      <c r="C244" s="258"/>
      <c r="D244" s="257"/>
      <c r="E244" s="258"/>
      <c r="F244" s="257"/>
      <c r="G244" s="258"/>
    </row>
    <row r="245" spans="1:7" ht="18" customHeight="1" x14ac:dyDescent="0.25">
      <c r="A245" s="106" t="s">
        <v>248</v>
      </c>
      <c r="B245" s="257"/>
      <c r="C245" s="258"/>
      <c r="D245" s="257"/>
      <c r="E245" s="258"/>
      <c r="F245" s="255">
        <f>'платные на 2022-2023 год'!D86</f>
        <v>0</v>
      </c>
      <c r="G245" s="258"/>
    </row>
    <row r="246" spans="1:7" ht="18" customHeight="1" x14ac:dyDescent="0.25">
      <c r="A246" s="106"/>
      <c r="B246" s="257"/>
      <c r="C246" s="258"/>
      <c r="D246" s="257"/>
      <c r="E246" s="258"/>
      <c r="F246" s="257"/>
      <c r="G246" s="258"/>
    </row>
    <row r="247" spans="1:7" ht="18" customHeight="1" x14ac:dyDescent="0.25">
      <c r="A247" s="106" t="s">
        <v>249</v>
      </c>
      <c r="B247" s="257"/>
      <c r="C247" s="258"/>
      <c r="D247" s="257"/>
      <c r="E247" s="258"/>
      <c r="F247" s="255">
        <f>'платные на 2022-2023 год'!D91</f>
        <v>0</v>
      </c>
      <c r="G247" s="258"/>
    </row>
    <row r="248" spans="1:7" ht="18" customHeight="1" x14ac:dyDescent="0.25">
      <c r="A248" s="13"/>
      <c r="B248" s="313"/>
      <c r="C248" s="313"/>
      <c r="D248" s="313"/>
      <c r="E248" s="313"/>
      <c r="F248" s="314"/>
      <c r="G248" s="314"/>
    </row>
    <row r="249" spans="1:7" ht="18" customHeight="1" x14ac:dyDescent="0.25">
      <c r="A249" s="15"/>
      <c r="B249" s="16"/>
      <c r="C249" s="16"/>
      <c r="D249" s="16"/>
      <c r="E249" s="16"/>
      <c r="F249" s="16"/>
      <c r="G249" s="16"/>
    </row>
    <row r="250" spans="1:7" ht="28.9" customHeight="1" x14ac:dyDescent="0.25">
      <c r="A250" s="282" t="s">
        <v>214</v>
      </c>
      <c r="B250" s="282"/>
      <c r="C250" s="282"/>
      <c r="D250" s="282"/>
      <c r="E250" s="282"/>
      <c r="F250" s="282"/>
      <c r="G250" s="282"/>
    </row>
    <row r="251" spans="1:7" ht="41.45" customHeight="1" x14ac:dyDescent="0.25">
      <c r="A251" s="276" t="s">
        <v>215</v>
      </c>
      <c r="B251" s="276"/>
      <c r="C251" s="276"/>
      <c r="D251" s="276"/>
      <c r="E251" s="276"/>
      <c r="F251" s="276"/>
      <c r="G251" s="276"/>
    </row>
    <row r="252" spans="1:7" ht="18.75" x14ac:dyDescent="0.25">
      <c r="A252" s="113"/>
      <c r="B252" s="113"/>
      <c r="C252" s="113"/>
      <c r="D252" s="113"/>
      <c r="E252" s="113"/>
      <c r="F252" s="113"/>
      <c r="G252" s="113"/>
    </row>
    <row r="253" spans="1:7" ht="18.75" x14ac:dyDescent="0.25">
      <c r="A253" s="9" t="s">
        <v>145</v>
      </c>
      <c r="B253" s="19">
        <v>244</v>
      </c>
      <c r="C253" s="113"/>
      <c r="D253" s="113"/>
      <c r="E253" s="113"/>
      <c r="F253" s="113"/>
      <c r="G253" s="113"/>
    </row>
    <row r="254" spans="1:7" ht="18.75" x14ac:dyDescent="0.25">
      <c r="A254" s="22"/>
      <c r="B254" s="22"/>
      <c r="C254" s="22"/>
      <c r="D254" s="22"/>
      <c r="E254" s="22"/>
      <c r="F254" s="22"/>
      <c r="G254" s="22"/>
    </row>
    <row r="255" spans="1:7" ht="51.6" customHeight="1" x14ac:dyDescent="0.25">
      <c r="A255" s="106" t="s">
        <v>86</v>
      </c>
      <c r="B255" s="275" t="s">
        <v>160</v>
      </c>
      <c r="C255" s="275"/>
      <c r="D255" s="275" t="s">
        <v>122</v>
      </c>
      <c r="E255" s="275"/>
      <c r="F255" s="275" t="s">
        <v>161</v>
      </c>
      <c r="G255" s="275"/>
    </row>
    <row r="256" spans="1:7" ht="28.9" customHeight="1" x14ac:dyDescent="0.25">
      <c r="A256" s="106">
        <v>1</v>
      </c>
      <c r="B256" s="257">
        <v>2</v>
      </c>
      <c r="C256" s="258"/>
      <c r="D256" s="257">
        <v>3</v>
      </c>
      <c r="E256" s="258"/>
      <c r="F256" s="287">
        <v>4</v>
      </c>
      <c r="G256" s="288"/>
    </row>
    <row r="257" spans="1:7" ht="28.9" customHeight="1" x14ac:dyDescent="0.25">
      <c r="A257" s="13" t="s">
        <v>159</v>
      </c>
      <c r="B257" s="287"/>
      <c r="C257" s="288"/>
      <c r="D257" s="287"/>
      <c r="E257" s="288"/>
      <c r="F257" s="336">
        <f>'платные на 2022-2023 год'!D36</f>
        <v>0</v>
      </c>
      <c r="G257" s="337"/>
    </row>
    <row r="258" spans="1:7" ht="28.9" customHeight="1" x14ac:dyDescent="0.25">
      <c r="A258" s="13" t="s">
        <v>120</v>
      </c>
      <c r="B258" s="287"/>
      <c r="C258" s="288"/>
      <c r="D258" s="287"/>
      <c r="E258" s="288"/>
      <c r="F258" s="336"/>
      <c r="G258" s="337"/>
    </row>
    <row r="259" spans="1:7" ht="18.75" x14ac:dyDescent="0.25">
      <c r="A259" s="110"/>
      <c r="B259" s="110"/>
      <c r="C259" s="110"/>
      <c r="D259" s="110"/>
      <c r="E259" s="110"/>
      <c r="F259" s="110"/>
      <c r="G259" s="110"/>
    </row>
    <row r="260" spans="1:7" ht="24.6" customHeight="1" x14ac:dyDescent="0.25">
      <c r="A260" s="274" t="s">
        <v>216</v>
      </c>
      <c r="B260" s="274"/>
      <c r="C260" s="274"/>
      <c r="D260" s="274"/>
      <c r="E260" s="274"/>
      <c r="F260" s="274"/>
      <c r="G260" s="274"/>
    </row>
    <row r="261" spans="1:7" ht="18.75" x14ac:dyDescent="0.25">
      <c r="A261" s="9"/>
    </row>
    <row r="262" spans="1:7" ht="18.75" x14ac:dyDescent="0.3">
      <c r="A262" s="9" t="s">
        <v>145</v>
      </c>
      <c r="B262" s="10">
        <v>244</v>
      </c>
    </row>
    <row r="263" spans="1:7" ht="18.75" x14ac:dyDescent="0.25">
      <c r="A263" s="8"/>
    </row>
    <row r="264" spans="1:7" ht="72.599999999999994" customHeight="1" x14ac:dyDescent="0.25">
      <c r="A264" s="106" t="s">
        <v>86</v>
      </c>
      <c r="B264" s="275" t="s">
        <v>121</v>
      </c>
      <c r="C264" s="275"/>
      <c r="D264" s="275" t="s">
        <v>122</v>
      </c>
      <c r="E264" s="275"/>
      <c r="F264" s="275" t="s">
        <v>186</v>
      </c>
      <c r="G264" s="275"/>
    </row>
    <row r="265" spans="1:7" ht="18.75" x14ac:dyDescent="0.25">
      <c r="A265" s="106">
        <v>1</v>
      </c>
      <c r="B265" s="257">
        <v>2</v>
      </c>
      <c r="C265" s="258"/>
      <c r="D265" s="257">
        <v>3</v>
      </c>
      <c r="E265" s="258"/>
      <c r="F265" s="287">
        <v>4</v>
      </c>
      <c r="G265" s="288"/>
    </row>
    <row r="266" spans="1:7" ht="37.5" x14ac:dyDescent="0.25">
      <c r="A266" s="13" t="s">
        <v>123</v>
      </c>
      <c r="B266" s="287"/>
      <c r="C266" s="288"/>
      <c r="D266" s="287"/>
      <c r="E266" s="288"/>
      <c r="F266" s="336">
        <f>'платные на 2022-2023 год'!D39</f>
        <v>0</v>
      </c>
      <c r="G266" s="337"/>
    </row>
    <row r="267" spans="1:7" ht="18.75" x14ac:dyDescent="0.25">
      <c r="A267" s="13" t="s">
        <v>124</v>
      </c>
      <c r="B267" s="287"/>
      <c r="C267" s="288"/>
      <c r="D267" s="287"/>
      <c r="E267" s="288"/>
      <c r="F267" s="336"/>
      <c r="G267" s="337"/>
    </row>
    <row r="268" spans="1:7" ht="18.75" x14ac:dyDescent="0.25">
      <c r="A268" s="13" t="s">
        <v>120</v>
      </c>
      <c r="B268" s="287"/>
      <c r="C268" s="288"/>
      <c r="D268" s="287"/>
      <c r="E268" s="288"/>
      <c r="F268" s="336"/>
      <c r="G268" s="337"/>
    </row>
    <row r="269" spans="1:7" x14ac:dyDescent="0.25">
      <c r="A269" s="23"/>
    </row>
    <row r="270" spans="1:7" ht="18.75" x14ac:dyDescent="0.25">
      <c r="A270" s="274" t="s">
        <v>217</v>
      </c>
      <c r="B270" s="274"/>
      <c r="C270" s="274"/>
      <c r="D270" s="274"/>
      <c r="E270" s="274"/>
      <c r="F270" s="274"/>
      <c r="G270" s="274"/>
    </row>
    <row r="271" spans="1:7" ht="18.75" x14ac:dyDescent="0.25">
      <c r="A271" s="9"/>
    </row>
    <row r="272" spans="1:7" ht="18.75" x14ac:dyDescent="0.3">
      <c r="A272" s="9" t="s">
        <v>145</v>
      </c>
      <c r="B272" s="10">
        <v>244</v>
      </c>
    </row>
    <row r="273" spans="1:7" ht="18.75" x14ac:dyDescent="0.25">
      <c r="A273" s="8"/>
    </row>
    <row r="274" spans="1:7" ht="54.6" customHeight="1" x14ac:dyDescent="0.25">
      <c r="A274" s="106" t="s">
        <v>86</v>
      </c>
      <c r="B274" s="275" t="s">
        <v>125</v>
      </c>
      <c r="C274" s="275"/>
      <c r="D274" s="275" t="s">
        <v>93</v>
      </c>
      <c r="E274" s="275"/>
      <c r="F274" s="275" t="s">
        <v>186</v>
      </c>
      <c r="G274" s="275"/>
    </row>
    <row r="275" spans="1:7" ht="18.75" x14ac:dyDescent="0.25">
      <c r="A275" s="106">
        <v>1</v>
      </c>
      <c r="B275" s="257">
        <v>2</v>
      </c>
      <c r="C275" s="258"/>
      <c r="D275" s="257">
        <v>3</v>
      </c>
      <c r="E275" s="258"/>
      <c r="F275" s="257">
        <v>4</v>
      </c>
      <c r="G275" s="258"/>
    </row>
    <row r="276" spans="1:7" ht="18.75" x14ac:dyDescent="0.25">
      <c r="A276" s="13"/>
      <c r="B276" s="257"/>
      <c r="C276" s="258"/>
      <c r="D276" s="257"/>
      <c r="E276" s="258"/>
      <c r="F276" s="255">
        <f>'платные на 2022-2023 год'!D42</f>
        <v>0</v>
      </c>
      <c r="G276" s="256"/>
    </row>
    <row r="277" spans="1:7" ht="18.75" x14ac:dyDescent="0.25">
      <c r="A277" s="13" t="s">
        <v>120</v>
      </c>
      <c r="B277" s="257"/>
      <c r="C277" s="258"/>
      <c r="D277" s="257"/>
      <c r="E277" s="258"/>
      <c r="F277" s="255"/>
      <c r="G277" s="256"/>
    </row>
    <row r="278" spans="1:7" ht="18.75" x14ac:dyDescent="0.25">
      <c r="A278" s="8"/>
    </row>
    <row r="279" spans="1:7" ht="18.75" x14ac:dyDescent="0.25">
      <c r="A279" s="274" t="s">
        <v>218</v>
      </c>
      <c r="B279" s="274"/>
      <c r="C279" s="274"/>
      <c r="D279" s="274"/>
      <c r="E279" s="274"/>
      <c r="F279" s="274"/>
      <c r="G279" s="274"/>
    </row>
    <row r="280" spans="1:7" ht="18.75" x14ac:dyDescent="0.25">
      <c r="A280" s="9"/>
    </row>
    <row r="281" spans="1:7" ht="18.75" x14ac:dyDescent="0.3">
      <c r="A281" s="9" t="s">
        <v>145</v>
      </c>
      <c r="B281" s="10">
        <v>244</v>
      </c>
    </row>
    <row r="282" spans="1:7" ht="18.75" x14ac:dyDescent="0.25">
      <c r="A282" s="8"/>
    </row>
    <row r="283" spans="1:7" ht="54.6" customHeight="1" x14ac:dyDescent="0.25">
      <c r="A283" s="106" t="s">
        <v>86</v>
      </c>
      <c r="B283" s="275" t="s">
        <v>126</v>
      </c>
      <c r="C283" s="275"/>
      <c r="D283" s="275" t="s">
        <v>127</v>
      </c>
      <c r="E283" s="275"/>
      <c r="F283" s="275" t="s">
        <v>94</v>
      </c>
      <c r="G283" s="275"/>
    </row>
    <row r="284" spans="1:7" ht="18.75" x14ac:dyDescent="0.25">
      <c r="A284" s="106">
        <v>1</v>
      </c>
      <c r="B284" s="257">
        <v>2</v>
      </c>
      <c r="C284" s="258"/>
      <c r="D284" s="257">
        <v>3</v>
      </c>
      <c r="E284" s="258"/>
      <c r="F284" s="257">
        <v>4</v>
      </c>
      <c r="G284" s="258"/>
    </row>
    <row r="285" spans="1:7" ht="75" x14ac:dyDescent="0.25">
      <c r="A285" s="13" t="s">
        <v>18</v>
      </c>
      <c r="B285" s="257"/>
      <c r="C285" s="258"/>
      <c r="D285" s="257"/>
      <c r="E285" s="258"/>
      <c r="F285" s="255">
        <f>'платные на 2022-2023 год'!D45</f>
        <v>0</v>
      </c>
      <c r="G285" s="256"/>
    </row>
    <row r="286" spans="1:7" ht="37.5" x14ac:dyDescent="0.25">
      <c r="A286" s="13" t="s">
        <v>19</v>
      </c>
      <c r="B286" s="257"/>
      <c r="C286" s="258"/>
      <c r="D286" s="257"/>
      <c r="E286" s="258"/>
      <c r="F286" s="255">
        <f>'платные на 2022-2023 год'!D46</f>
        <v>0</v>
      </c>
      <c r="G286" s="256"/>
    </row>
    <row r="287" spans="1:7" ht="75" x14ac:dyDescent="0.25">
      <c r="A287" s="13" t="s">
        <v>20</v>
      </c>
      <c r="B287" s="257"/>
      <c r="C287" s="258"/>
      <c r="D287" s="257"/>
      <c r="E287" s="258"/>
      <c r="F287" s="255">
        <f>'платные на 2022-2023 год'!D47</f>
        <v>0</v>
      </c>
      <c r="G287" s="256"/>
    </row>
    <row r="288" spans="1:7" ht="75" x14ac:dyDescent="0.25">
      <c r="A288" s="13" t="s">
        <v>21</v>
      </c>
      <c r="B288" s="257"/>
      <c r="C288" s="258"/>
      <c r="D288" s="257"/>
      <c r="E288" s="258"/>
      <c r="F288" s="255">
        <f>'платные на 2022-2023 год'!D48</f>
        <v>0</v>
      </c>
      <c r="G288" s="256"/>
    </row>
    <row r="289" spans="1:7" ht="56.25" x14ac:dyDescent="0.25">
      <c r="A289" s="24" t="s">
        <v>22</v>
      </c>
      <c r="B289" s="257"/>
      <c r="C289" s="258"/>
      <c r="D289" s="257"/>
      <c r="E289" s="258"/>
      <c r="F289" s="255">
        <f>'платные на 2022-2023 год'!D49</f>
        <v>0</v>
      </c>
      <c r="G289" s="256"/>
    </row>
    <row r="290" spans="1:7" ht="18.75" x14ac:dyDescent="0.25">
      <c r="A290" s="25"/>
      <c r="B290" s="26"/>
      <c r="C290" s="26"/>
      <c r="D290" s="26"/>
      <c r="E290" s="26"/>
      <c r="F290" s="26"/>
      <c r="G290" s="26"/>
    </row>
    <row r="291" spans="1:7" ht="18.75" x14ac:dyDescent="0.25">
      <c r="A291" s="341" t="s">
        <v>219</v>
      </c>
      <c r="B291" s="341"/>
      <c r="C291" s="341"/>
      <c r="D291" s="341"/>
      <c r="E291" s="341"/>
      <c r="F291" s="341"/>
      <c r="G291" s="341"/>
    </row>
    <row r="292" spans="1:7" ht="18.75" x14ac:dyDescent="0.25">
      <c r="A292" s="114"/>
      <c r="B292" s="114"/>
      <c r="C292" s="114"/>
      <c r="D292" s="114"/>
      <c r="E292" s="114"/>
      <c r="F292" s="114"/>
      <c r="G292" s="114"/>
    </row>
    <row r="293" spans="1:7" ht="18.75" x14ac:dyDescent="0.3">
      <c r="A293" s="9" t="s">
        <v>145</v>
      </c>
      <c r="B293" s="10">
        <v>244</v>
      </c>
    </row>
    <row r="294" spans="1:7" ht="18.75" x14ac:dyDescent="0.25">
      <c r="A294" s="8"/>
    </row>
    <row r="295" spans="1:7" ht="49.15" customHeight="1" x14ac:dyDescent="0.25">
      <c r="A295" s="106" t="s">
        <v>86</v>
      </c>
      <c r="B295" s="275" t="s">
        <v>128</v>
      </c>
      <c r="C295" s="275"/>
      <c r="D295" s="275" t="s">
        <v>148</v>
      </c>
      <c r="E295" s="275"/>
      <c r="F295" s="275" t="s">
        <v>129</v>
      </c>
      <c r="G295" s="275"/>
    </row>
    <row r="296" spans="1:7" ht="18.75" x14ac:dyDescent="0.25">
      <c r="A296" s="106">
        <v>1</v>
      </c>
      <c r="B296" s="257">
        <v>2</v>
      </c>
      <c r="C296" s="258"/>
      <c r="D296" s="257">
        <v>3</v>
      </c>
      <c r="E296" s="258"/>
      <c r="F296" s="257">
        <v>4</v>
      </c>
      <c r="G296" s="258"/>
    </row>
    <row r="297" spans="1:7" ht="37.5" x14ac:dyDescent="0.25">
      <c r="A297" s="13" t="s">
        <v>130</v>
      </c>
      <c r="B297" s="257"/>
      <c r="C297" s="258"/>
      <c r="D297" s="257"/>
      <c r="E297" s="258"/>
      <c r="F297" s="255">
        <f>'платные на 2022-2023 год'!D50</f>
        <v>0</v>
      </c>
      <c r="G297" s="256"/>
    </row>
    <row r="298" spans="1:7" ht="18.75" x14ac:dyDescent="0.25">
      <c r="A298" s="13" t="s">
        <v>118</v>
      </c>
      <c r="B298" s="257"/>
      <c r="C298" s="258"/>
      <c r="D298" s="257"/>
      <c r="E298" s="258"/>
      <c r="F298" s="255"/>
      <c r="G298" s="256"/>
    </row>
    <row r="299" spans="1:7" ht="18.75" x14ac:dyDescent="0.25">
      <c r="A299" s="27"/>
      <c r="B299" s="26"/>
      <c r="C299" s="26"/>
      <c r="D299" s="26"/>
      <c r="E299" s="26"/>
      <c r="F299" s="26"/>
      <c r="G299" s="26"/>
    </row>
    <row r="300" spans="1:7" ht="39" customHeight="1" x14ac:dyDescent="0.25">
      <c r="A300" s="276" t="s">
        <v>220</v>
      </c>
      <c r="B300" s="276"/>
      <c r="C300" s="276"/>
      <c r="D300" s="276"/>
      <c r="E300" s="276"/>
      <c r="F300" s="276"/>
      <c r="G300" s="276"/>
    </row>
    <row r="301" spans="1:7" ht="18.75" x14ac:dyDescent="0.25">
      <c r="A301" s="9"/>
    </row>
    <row r="302" spans="1:7" ht="18.75" x14ac:dyDescent="0.3">
      <c r="A302" s="9" t="s">
        <v>145</v>
      </c>
      <c r="B302" s="10">
        <v>243</v>
      </c>
    </row>
    <row r="303" spans="1:7" ht="18.75" x14ac:dyDescent="0.25">
      <c r="A303" s="8"/>
    </row>
    <row r="304" spans="1:7" ht="39.6" customHeight="1" x14ac:dyDescent="0.25">
      <c r="A304" s="275" t="s">
        <v>86</v>
      </c>
      <c r="B304" s="275"/>
      <c r="C304" s="275"/>
      <c r="D304" s="275" t="s">
        <v>131</v>
      </c>
      <c r="E304" s="275"/>
      <c r="F304" s="275" t="s">
        <v>132</v>
      </c>
      <c r="G304" s="275"/>
    </row>
    <row r="305" spans="1:7" ht="18.75" x14ac:dyDescent="0.3">
      <c r="A305" s="275">
        <v>1</v>
      </c>
      <c r="B305" s="275"/>
      <c r="C305" s="275"/>
      <c r="D305" s="248">
        <v>2</v>
      </c>
      <c r="E305" s="249"/>
      <c r="F305" s="248">
        <v>3</v>
      </c>
      <c r="G305" s="249"/>
    </row>
    <row r="306" spans="1:7" ht="43.15" customHeight="1" x14ac:dyDescent="0.25">
      <c r="A306" s="247" t="s">
        <v>163</v>
      </c>
      <c r="B306" s="247"/>
      <c r="C306" s="247"/>
      <c r="D306" s="283"/>
      <c r="E306" s="284"/>
      <c r="F306" s="299">
        <f>'платные на 2022-2023 год'!D52</f>
        <v>0</v>
      </c>
      <c r="G306" s="300"/>
    </row>
    <row r="307" spans="1:7" ht="18.75" x14ac:dyDescent="0.25">
      <c r="A307" s="252" t="s">
        <v>120</v>
      </c>
      <c r="B307" s="253"/>
      <c r="C307" s="254"/>
      <c r="D307" s="283"/>
      <c r="E307" s="284"/>
      <c r="F307" s="338"/>
      <c r="G307" s="340"/>
    </row>
    <row r="308" spans="1:7" ht="18.75" x14ac:dyDescent="0.25">
      <c r="A308" s="28"/>
      <c r="B308" s="28"/>
      <c r="C308" s="28"/>
      <c r="D308" s="17"/>
      <c r="E308" s="17"/>
      <c r="F308" s="17"/>
      <c r="G308" s="17"/>
    </row>
    <row r="309" spans="1:7" ht="18.75" x14ac:dyDescent="0.3">
      <c r="A309" s="9" t="s">
        <v>145</v>
      </c>
      <c r="B309" s="10">
        <v>244</v>
      </c>
    </row>
    <row r="310" spans="1:7" ht="18.75" x14ac:dyDescent="0.25">
      <c r="A310" s="8"/>
    </row>
    <row r="311" spans="1:7" ht="43.9" customHeight="1" x14ac:dyDescent="0.25">
      <c r="A311" s="275" t="s">
        <v>86</v>
      </c>
      <c r="B311" s="275"/>
      <c r="C311" s="275"/>
      <c r="D311" s="275" t="s">
        <v>131</v>
      </c>
      <c r="E311" s="275"/>
      <c r="F311" s="275" t="s">
        <v>132</v>
      </c>
      <c r="G311" s="275"/>
    </row>
    <row r="312" spans="1:7" ht="18.75" x14ac:dyDescent="0.3">
      <c r="A312" s="275">
        <v>1</v>
      </c>
      <c r="B312" s="275"/>
      <c r="C312" s="275"/>
      <c r="D312" s="248">
        <v>2</v>
      </c>
      <c r="E312" s="249"/>
      <c r="F312" s="248">
        <v>3</v>
      </c>
      <c r="G312" s="249"/>
    </row>
    <row r="313" spans="1:7" ht="34.15" customHeight="1" x14ac:dyDescent="0.25">
      <c r="A313" s="247" t="s">
        <v>133</v>
      </c>
      <c r="B313" s="247"/>
      <c r="C313" s="247"/>
      <c r="D313" s="283"/>
      <c r="E313" s="284"/>
      <c r="F313" s="299">
        <f>'платные на 2022-2023 год'!D53</f>
        <v>0</v>
      </c>
      <c r="G313" s="300"/>
    </row>
    <row r="314" spans="1:7" ht="34.15" customHeight="1" x14ac:dyDescent="0.25">
      <c r="A314" s="247" t="s">
        <v>134</v>
      </c>
      <c r="B314" s="247"/>
      <c r="C314" s="247"/>
      <c r="D314" s="283"/>
      <c r="E314" s="284"/>
      <c r="F314" s="338"/>
      <c r="G314" s="340"/>
    </row>
    <row r="315" spans="1:7" ht="34.15" customHeight="1" x14ac:dyDescent="0.25">
      <c r="A315" s="247" t="s">
        <v>135</v>
      </c>
      <c r="B315" s="247"/>
      <c r="C315" s="247"/>
      <c r="D315" s="283"/>
      <c r="E315" s="284"/>
      <c r="F315" s="338"/>
      <c r="G315" s="340"/>
    </row>
    <row r="316" spans="1:7" ht="34.15" customHeight="1" x14ac:dyDescent="0.25">
      <c r="A316" s="247" t="s">
        <v>136</v>
      </c>
      <c r="B316" s="247"/>
      <c r="C316" s="247"/>
      <c r="D316" s="283"/>
      <c r="E316" s="284"/>
      <c r="F316" s="338"/>
      <c r="G316" s="340"/>
    </row>
    <row r="317" spans="1:7" ht="18.75" x14ac:dyDescent="0.25">
      <c r="A317" s="252" t="s">
        <v>120</v>
      </c>
      <c r="B317" s="253"/>
      <c r="C317" s="254"/>
      <c r="D317" s="283"/>
      <c r="E317" s="284"/>
      <c r="F317" s="338"/>
      <c r="G317" s="340"/>
    </row>
    <row r="318" spans="1:7" ht="18.75" x14ac:dyDescent="0.25">
      <c r="A318" s="29"/>
    </row>
    <row r="319" spans="1:7" ht="18.75" x14ac:dyDescent="0.25">
      <c r="A319" s="274" t="s">
        <v>221</v>
      </c>
      <c r="B319" s="274"/>
      <c r="C319" s="274"/>
      <c r="D319" s="274"/>
      <c r="E319" s="274"/>
      <c r="F319" s="274"/>
      <c r="G319" s="274"/>
    </row>
    <row r="320" spans="1:7" ht="18.75" x14ac:dyDescent="0.25">
      <c r="A320" s="9"/>
    </row>
    <row r="321" spans="1:7" ht="18.75" x14ac:dyDescent="0.3">
      <c r="A321" s="9" t="s">
        <v>145</v>
      </c>
      <c r="B321" s="10">
        <v>243</v>
      </c>
    </row>
    <row r="322" spans="1:7" ht="18.75" x14ac:dyDescent="0.25">
      <c r="A322" s="8"/>
    </row>
    <row r="323" spans="1:7" ht="28.9" customHeight="1" x14ac:dyDescent="0.25">
      <c r="A323" s="275" t="s">
        <v>86</v>
      </c>
      <c r="B323" s="275"/>
      <c r="C323" s="275"/>
      <c r="D323" s="275" t="s">
        <v>137</v>
      </c>
      <c r="E323" s="275"/>
      <c r="F323" s="275" t="s">
        <v>138</v>
      </c>
      <c r="G323" s="275"/>
    </row>
    <row r="324" spans="1:7" ht="18.75" x14ac:dyDescent="0.3">
      <c r="A324" s="257">
        <v>1</v>
      </c>
      <c r="B324" s="286"/>
      <c r="C324" s="258"/>
      <c r="D324" s="248">
        <v>2</v>
      </c>
      <c r="E324" s="249"/>
      <c r="F324" s="248">
        <v>3</v>
      </c>
      <c r="G324" s="249"/>
    </row>
    <row r="325" spans="1:7" ht="38.450000000000003" customHeight="1" x14ac:dyDescent="0.25">
      <c r="A325" s="252" t="s">
        <v>162</v>
      </c>
      <c r="B325" s="253"/>
      <c r="C325" s="254"/>
      <c r="D325" s="283"/>
      <c r="E325" s="284"/>
      <c r="F325" s="299">
        <f>'платные на 2022-2023 год'!D58</f>
        <v>0</v>
      </c>
      <c r="G325" s="300"/>
    </row>
    <row r="326" spans="1:7" ht="18.75" x14ac:dyDescent="0.25">
      <c r="A326" s="252" t="s">
        <v>120</v>
      </c>
      <c r="B326" s="253"/>
      <c r="C326" s="254"/>
      <c r="D326" s="283"/>
      <c r="E326" s="284"/>
      <c r="F326" s="338"/>
      <c r="G326" s="340"/>
    </row>
    <row r="327" spans="1:7" ht="18.75" x14ac:dyDescent="0.25">
      <c r="A327" s="28"/>
      <c r="B327" s="28"/>
      <c r="C327" s="28"/>
      <c r="D327" s="17"/>
      <c r="E327" s="17"/>
      <c r="F327" s="17"/>
      <c r="G327" s="17"/>
    </row>
    <row r="328" spans="1:7" ht="18.75" x14ac:dyDescent="0.3">
      <c r="A328" s="9" t="s">
        <v>145</v>
      </c>
      <c r="B328" s="10">
        <v>244</v>
      </c>
    </row>
    <row r="329" spans="1:7" ht="18.75" x14ac:dyDescent="0.25">
      <c r="A329" s="8"/>
    </row>
    <row r="330" spans="1:7" ht="30" customHeight="1" x14ac:dyDescent="0.25">
      <c r="A330" s="275" t="s">
        <v>86</v>
      </c>
      <c r="B330" s="275"/>
      <c r="C330" s="275"/>
      <c r="D330" s="275" t="s">
        <v>137</v>
      </c>
      <c r="E330" s="275"/>
      <c r="F330" s="275" t="s">
        <v>138</v>
      </c>
      <c r="G330" s="275"/>
    </row>
    <row r="331" spans="1:7" ht="18.75" x14ac:dyDescent="0.3">
      <c r="A331" s="257">
        <v>1</v>
      </c>
      <c r="B331" s="286"/>
      <c r="C331" s="258"/>
      <c r="D331" s="248">
        <v>2</v>
      </c>
      <c r="E331" s="249"/>
      <c r="F331" s="248">
        <v>3</v>
      </c>
      <c r="G331" s="249"/>
    </row>
    <row r="332" spans="1:7" ht="18.75" x14ac:dyDescent="0.25">
      <c r="A332" s="252" t="s">
        <v>139</v>
      </c>
      <c r="B332" s="253"/>
      <c r="C332" s="254"/>
      <c r="D332" s="283"/>
      <c r="E332" s="284"/>
      <c r="F332" s="299">
        <f>'платные на 2022-2023 год'!D59</f>
        <v>0</v>
      </c>
      <c r="G332" s="300"/>
    </row>
    <row r="333" spans="1:7" ht="18.75" x14ac:dyDescent="0.25">
      <c r="A333" s="252" t="s">
        <v>140</v>
      </c>
      <c r="B333" s="253"/>
      <c r="C333" s="254"/>
      <c r="D333" s="283"/>
      <c r="E333" s="284"/>
      <c r="F333" s="299"/>
      <c r="G333" s="300"/>
    </row>
    <row r="334" spans="1:7" ht="18.75" x14ac:dyDescent="0.25">
      <c r="A334" s="252" t="s">
        <v>141</v>
      </c>
      <c r="B334" s="253"/>
      <c r="C334" s="254"/>
      <c r="D334" s="283"/>
      <c r="E334" s="284"/>
      <c r="F334" s="338"/>
      <c r="G334" s="340"/>
    </row>
    <row r="335" spans="1:7" ht="18.75" x14ac:dyDescent="0.25">
      <c r="A335" s="252" t="s">
        <v>120</v>
      </c>
      <c r="B335" s="253"/>
      <c r="C335" s="254"/>
      <c r="D335" s="283"/>
      <c r="E335" s="284"/>
      <c r="F335" s="338"/>
      <c r="G335" s="340"/>
    </row>
    <row r="336" spans="1:7" ht="18.75" x14ac:dyDescent="0.25">
      <c r="A336" s="8"/>
    </row>
    <row r="337" spans="1:7" ht="18.75" x14ac:dyDescent="0.25">
      <c r="A337" s="274" t="s">
        <v>222</v>
      </c>
      <c r="B337" s="274"/>
      <c r="C337" s="274"/>
      <c r="D337" s="274"/>
      <c r="E337" s="274"/>
      <c r="F337" s="274"/>
      <c r="G337" s="274"/>
    </row>
    <row r="338" spans="1:7" ht="18.75" x14ac:dyDescent="0.25">
      <c r="A338" s="9"/>
    </row>
    <row r="339" spans="1:7" ht="18.75" x14ac:dyDescent="0.3">
      <c r="A339" s="9" t="s">
        <v>145</v>
      </c>
      <c r="B339" s="10">
        <v>244</v>
      </c>
    </row>
    <row r="340" spans="1:7" ht="18.75" x14ac:dyDescent="0.25">
      <c r="A340" s="8"/>
    </row>
    <row r="341" spans="1:7" ht="36" customHeight="1" x14ac:dyDescent="0.25">
      <c r="A341" s="257" t="s">
        <v>86</v>
      </c>
      <c r="B341" s="258"/>
      <c r="C341" s="257" t="s">
        <v>137</v>
      </c>
      <c r="D341" s="258"/>
      <c r="E341" s="257" t="s">
        <v>138</v>
      </c>
      <c r="F341" s="286"/>
      <c r="G341" s="258"/>
    </row>
    <row r="342" spans="1:7" ht="18.75" x14ac:dyDescent="0.3">
      <c r="A342" s="257">
        <v>1</v>
      </c>
      <c r="B342" s="258"/>
      <c r="C342" s="257">
        <v>2</v>
      </c>
      <c r="D342" s="258"/>
      <c r="E342" s="248">
        <v>3</v>
      </c>
      <c r="F342" s="285"/>
      <c r="G342" s="249"/>
    </row>
    <row r="343" spans="1:7" ht="18.75" x14ac:dyDescent="0.25">
      <c r="A343" s="252" t="s">
        <v>25</v>
      </c>
      <c r="B343" s="254"/>
      <c r="C343" s="257"/>
      <c r="D343" s="258"/>
      <c r="E343" s="338">
        <f>'платные на 2022-2023 год'!D60</f>
        <v>0</v>
      </c>
      <c r="F343" s="339"/>
      <c r="G343" s="340"/>
    </row>
    <row r="344" spans="1:7" ht="18.75" x14ac:dyDescent="0.25">
      <c r="A344" s="252" t="s">
        <v>120</v>
      </c>
      <c r="B344" s="254"/>
      <c r="C344" s="257"/>
      <c r="D344" s="258"/>
      <c r="E344" s="338"/>
      <c r="F344" s="339"/>
      <c r="G344" s="340"/>
    </row>
    <row r="345" spans="1:7" x14ac:dyDescent="0.25">
      <c r="A345" s="23"/>
    </row>
    <row r="346" spans="1:7" ht="43.15" customHeight="1" x14ac:dyDescent="0.25">
      <c r="A346" s="282" t="s">
        <v>223</v>
      </c>
      <c r="B346" s="282"/>
      <c r="C346" s="282"/>
      <c r="D346" s="282"/>
      <c r="E346" s="282"/>
      <c r="F346" s="282"/>
      <c r="G346" s="282"/>
    </row>
    <row r="347" spans="1:7" ht="18.75" x14ac:dyDescent="0.25">
      <c r="A347" s="29"/>
    </row>
    <row r="348" spans="1:7" ht="18.75" x14ac:dyDescent="0.3">
      <c r="A348" s="9" t="s">
        <v>145</v>
      </c>
      <c r="B348" s="10">
        <v>244</v>
      </c>
    </row>
    <row r="349" spans="1:7" ht="18.75" x14ac:dyDescent="0.25">
      <c r="A349" s="8"/>
    </row>
    <row r="350" spans="1:7" ht="54.6" customHeight="1" x14ac:dyDescent="0.25">
      <c r="A350" s="106" t="s">
        <v>86</v>
      </c>
      <c r="B350" s="275" t="s">
        <v>142</v>
      </c>
      <c r="C350" s="275"/>
      <c r="D350" s="275" t="s">
        <v>143</v>
      </c>
      <c r="E350" s="275"/>
      <c r="F350" s="275" t="s">
        <v>149</v>
      </c>
      <c r="G350" s="275"/>
    </row>
    <row r="351" spans="1:7" ht="18.75" x14ac:dyDescent="0.25">
      <c r="A351" s="106">
        <v>1</v>
      </c>
      <c r="B351" s="257">
        <v>2</v>
      </c>
      <c r="C351" s="258"/>
      <c r="D351" s="257">
        <v>3</v>
      </c>
      <c r="E351" s="258"/>
      <c r="F351" s="257">
        <v>4</v>
      </c>
      <c r="G351" s="258"/>
    </row>
    <row r="352" spans="1:7" ht="18.75" x14ac:dyDescent="0.25">
      <c r="A352" s="106"/>
      <c r="B352" s="257"/>
      <c r="C352" s="258"/>
      <c r="D352" s="257"/>
      <c r="E352" s="258"/>
      <c r="F352" s="255"/>
      <c r="G352" s="256"/>
    </row>
    <row r="353" spans="1:7" ht="18.75" x14ac:dyDescent="0.25">
      <c r="A353" s="112" t="s">
        <v>248</v>
      </c>
      <c r="B353" s="257"/>
      <c r="C353" s="258"/>
      <c r="D353" s="257"/>
      <c r="E353" s="258"/>
      <c r="F353" s="255">
        <f>'платные на 2022-2023 год'!D81</f>
        <v>0</v>
      </c>
      <c r="G353" s="256"/>
    </row>
    <row r="354" spans="1:7" ht="18.75" x14ac:dyDescent="0.25">
      <c r="A354" s="112"/>
      <c r="B354" s="257"/>
      <c r="C354" s="258"/>
      <c r="D354" s="257"/>
      <c r="E354" s="258"/>
      <c r="F354" s="255"/>
      <c r="G354" s="256"/>
    </row>
    <row r="355" spans="1:7" ht="18.75" x14ac:dyDescent="0.25">
      <c r="A355" s="13" t="s">
        <v>249</v>
      </c>
      <c r="B355" s="257"/>
      <c r="C355" s="258"/>
      <c r="D355" s="257"/>
      <c r="E355" s="258"/>
      <c r="F355" s="255">
        <f>'платные на 2022-2023 год'!D88</f>
        <v>0</v>
      </c>
      <c r="G355" s="256"/>
    </row>
    <row r="356" spans="1:7" ht="18.75" x14ac:dyDescent="0.25">
      <c r="A356" s="8"/>
    </row>
    <row r="357" spans="1:7" ht="18.75" x14ac:dyDescent="0.25">
      <c r="A357" s="274" t="s">
        <v>224</v>
      </c>
      <c r="B357" s="274"/>
      <c r="C357" s="274"/>
      <c r="D357" s="274"/>
      <c r="E357" s="274"/>
      <c r="F357" s="274"/>
      <c r="G357" s="274"/>
    </row>
    <row r="358" spans="1:7" ht="18.75" x14ac:dyDescent="0.25">
      <c r="A358" s="9"/>
    </row>
    <row r="359" spans="1:7" ht="18.75" x14ac:dyDescent="0.3">
      <c r="A359" s="9" t="s">
        <v>145</v>
      </c>
      <c r="B359" s="10">
        <v>244</v>
      </c>
    </row>
    <row r="360" spans="1:7" ht="18.75" x14ac:dyDescent="0.25">
      <c r="A360" s="8"/>
    </row>
    <row r="361" spans="1:7" ht="54.6" customHeight="1" x14ac:dyDescent="0.25">
      <c r="A361" s="106" t="s">
        <v>86</v>
      </c>
      <c r="B361" s="275" t="s">
        <v>142</v>
      </c>
      <c r="C361" s="275"/>
      <c r="D361" s="275" t="s">
        <v>143</v>
      </c>
      <c r="E361" s="275"/>
      <c r="F361" s="275" t="s">
        <v>150</v>
      </c>
      <c r="G361" s="275"/>
    </row>
    <row r="362" spans="1:7" ht="18.75" x14ac:dyDescent="0.25">
      <c r="A362" s="106">
        <v>1</v>
      </c>
      <c r="B362" s="257">
        <v>2</v>
      </c>
      <c r="C362" s="258"/>
      <c r="D362" s="257">
        <v>3</v>
      </c>
      <c r="E362" s="258"/>
      <c r="F362" s="257">
        <v>4</v>
      </c>
      <c r="G362" s="258"/>
    </row>
    <row r="363" spans="1:7" ht="56.25" x14ac:dyDescent="0.25">
      <c r="A363" s="13" t="s">
        <v>144</v>
      </c>
      <c r="B363" s="257"/>
      <c r="C363" s="258"/>
      <c r="D363" s="257"/>
      <c r="E363" s="258"/>
      <c r="F363" s="255">
        <f>'платные на 2022-2023 год'!D94</f>
        <v>0</v>
      </c>
      <c r="G363" s="256"/>
    </row>
    <row r="364" spans="1:7" ht="18.75" x14ac:dyDescent="0.25">
      <c r="A364" s="13" t="s">
        <v>120</v>
      </c>
      <c r="B364" s="257"/>
      <c r="C364" s="258"/>
      <c r="D364" s="257"/>
      <c r="E364" s="258"/>
      <c r="F364" s="255"/>
      <c r="G364" s="256"/>
    </row>
    <row r="365" spans="1:7" ht="18.75" x14ac:dyDescent="0.25">
      <c r="A365" s="8"/>
    </row>
    <row r="366" spans="1:7" ht="28.15" customHeight="1" x14ac:dyDescent="0.25">
      <c r="A366" s="274" t="s">
        <v>250</v>
      </c>
      <c r="B366" s="274"/>
      <c r="C366" s="274"/>
      <c r="D366" s="274"/>
      <c r="E366" s="274"/>
      <c r="F366" s="274"/>
      <c r="G366" s="274"/>
    </row>
    <row r="367" spans="1:7" ht="18.75" x14ac:dyDescent="0.25">
      <c r="A367" s="9"/>
    </row>
    <row r="368" spans="1:7" ht="18.75" x14ac:dyDescent="0.3">
      <c r="A368" s="9" t="s">
        <v>145</v>
      </c>
      <c r="B368" s="10">
        <v>244</v>
      </c>
    </row>
    <row r="369" spans="1:7" ht="18.75" x14ac:dyDescent="0.25">
      <c r="A369" s="8"/>
    </row>
    <row r="370" spans="1:7" ht="37.9" customHeight="1" x14ac:dyDescent="0.25">
      <c r="A370" s="106" t="s">
        <v>86</v>
      </c>
      <c r="B370" s="275" t="s">
        <v>142</v>
      </c>
      <c r="C370" s="275"/>
      <c r="D370" s="275" t="s">
        <v>143</v>
      </c>
      <c r="E370" s="275"/>
      <c r="F370" s="275" t="s">
        <v>150</v>
      </c>
      <c r="G370" s="275"/>
    </row>
    <row r="371" spans="1:7" ht="18.75" x14ac:dyDescent="0.25">
      <c r="A371" s="106">
        <v>1</v>
      </c>
      <c r="B371" s="257">
        <v>2</v>
      </c>
      <c r="C371" s="258"/>
      <c r="D371" s="257">
        <v>3</v>
      </c>
      <c r="E371" s="258"/>
      <c r="F371" s="257">
        <v>4</v>
      </c>
      <c r="G371" s="258"/>
    </row>
    <row r="372" spans="1:7" ht="18.75" x14ac:dyDescent="0.25">
      <c r="A372" s="13"/>
      <c r="B372" s="257"/>
      <c r="C372" s="258"/>
      <c r="D372" s="257"/>
      <c r="E372" s="258"/>
      <c r="F372" s="255">
        <f>'платные на 2022-2023 год'!D95</f>
        <v>0</v>
      </c>
      <c r="G372" s="256"/>
    </row>
    <row r="373" spans="1:7" ht="18.75" x14ac:dyDescent="0.25">
      <c r="A373" s="13" t="s">
        <v>120</v>
      </c>
      <c r="B373" s="257"/>
      <c r="C373" s="258"/>
      <c r="D373" s="257"/>
      <c r="E373" s="258"/>
      <c r="F373" s="255"/>
      <c r="G373" s="256"/>
    </row>
    <row r="374" spans="1:7" ht="18.75" x14ac:dyDescent="0.25">
      <c r="A374" s="8"/>
    </row>
    <row r="375" spans="1:7" ht="31.9" customHeight="1" x14ac:dyDescent="0.25">
      <c r="A375" s="282" t="s">
        <v>251</v>
      </c>
      <c r="B375" s="282"/>
      <c r="C375" s="282"/>
      <c r="D375" s="282"/>
      <c r="E375" s="282"/>
      <c r="F375" s="282"/>
      <c r="G375" s="282"/>
    </row>
    <row r="376" spans="1:7" ht="18.75" x14ac:dyDescent="0.25">
      <c r="A376" s="9"/>
    </row>
    <row r="377" spans="1:7" ht="18.75" x14ac:dyDescent="0.3">
      <c r="A377" s="9" t="s">
        <v>145</v>
      </c>
      <c r="B377" s="10">
        <v>244</v>
      </c>
    </row>
    <row r="378" spans="1:7" ht="18.75" x14ac:dyDescent="0.25">
      <c r="A378" s="8"/>
    </row>
    <row r="379" spans="1:7" ht="54.6" customHeight="1" x14ac:dyDescent="0.25">
      <c r="A379" s="106" t="s">
        <v>86</v>
      </c>
      <c r="B379" s="275" t="s">
        <v>142</v>
      </c>
      <c r="C379" s="275"/>
      <c r="D379" s="275" t="s">
        <v>143</v>
      </c>
      <c r="E379" s="275"/>
      <c r="F379" s="275" t="s">
        <v>150</v>
      </c>
      <c r="G379" s="275"/>
    </row>
    <row r="380" spans="1:7" ht="18.75" x14ac:dyDescent="0.25">
      <c r="A380" s="106">
        <v>1</v>
      </c>
      <c r="B380" s="257">
        <v>2</v>
      </c>
      <c r="C380" s="258"/>
      <c r="D380" s="257">
        <v>3</v>
      </c>
      <c r="E380" s="258"/>
      <c r="F380" s="257">
        <v>4</v>
      </c>
      <c r="G380" s="258"/>
    </row>
    <row r="381" spans="1:7" ht="18.75" x14ac:dyDescent="0.25">
      <c r="A381" s="13"/>
      <c r="B381" s="287"/>
      <c r="C381" s="288"/>
      <c r="D381" s="287"/>
      <c r="E381" s="288"/>
      <c r="F381" s="336"/>
      <c r="G381" s="337"/>
    </row>
    <row r="382" spans="1:7" ht="18.75" x14ac:dyDescent="0.25">
      <c r="A382" s="13" t="s">
        <v>237</v>
      </c>
      <c r="B382" s="287"/>
      <c r="C382" s="288"/>
      <c r="D382" s="287"/>
      <c r="E382" s="288"/>
      <c r="F382" s="336">
        <f>'платные на 2022-2023 год'!D98</f>
        <v>0</v>
      </c>
      <c r="G382" s="337"/>
    </row>
    <row r="383" spans="1:7" ht="18.75" x14ac:dyDescent="0.25">
      <c r="A383" s="13"/>
      <c r="B383" s="287"/>
      <c r="C383" s="288"/>
      <c r="D383" s="287"/>
      <c r="E383" s="288"/>
      <c r="F383" s="336"/>
      <c r="G383" s="337"/>
    </row>
    <row r="384" spans="1:7" ht="18.75" x14ac:dyDescent="0.25">
      <c r="A384" s="13" t="s">
        <v>238</v>
      </c>
      <c r="B384" s="287"/>
      <c r="C384" s="288"/>
      <c r="D384" s="287"/>
      <c r="E384" s="288"/>
      <c r="F384" s="336">
        <f>'платные на 2022-2023 год'!D99</f>
        <v>0</v>
      </c>
      <c r="G384" s="337"/>
    </row>
    <row r="385" spans="1:7" ht="18.75" x14ac:dyDescent="0.25">
      <c r="A385" s="13"/>
      <c r="B385" s="287"/>
      <c r="C385" s="288"/>
      <c r="D385" s="287"/>
      <c r="E385" s="288"/>
      <c r="F385" s="336"/>
      <c r="G385" s="337"/>
    </row>
    <row r="386" spans="1:7" ht="18.75" x14ac:dyDescent="0.25">
      <c r="A386" s="13" t="s">
        <v>239</v>
      </c>
      <c r="B386" s="287"/>
      <c r="C386" s="288"/>
      <c r="D386" s="287"/>
      <c r="E386" s="288"/>
      <c r="F386" s="336">
        <f>'платные на 2022-2023 год'!D100</f>
        <v>0</v>
      </c>
      <c r="G386" s="337"/>
    </row>
    <row r="387" spans="1:7" ht="18.75" x14ac:dyDescent="0.25">
      <c r="A387" s="13"/>
      <c r="B387" s="287"/>
      <c r="C387" s="288"/>
      <c r="D387" s="287"/>
      <c r="E387" s="288"/>
      <c r="F387" s="336"/>
      <c r="G387" s="337"/>
    </row>
    <row r="388" spans="1:7" ht="18.75" x14ac:dyDescent="0.25">
      <c r="A388" s="13" t="s">
        <v>240</v>
      </c>
      <c r="B388" s="287"/>
      <c r="C388" s="288"/>
      <c r="D388" s="287"/>
      <c r="E388" s="288"/>
      <c r="F388" s="336">
        <f>'платные на 2022-2023 год'!D101</f>
        <v>0</v>
      </c>
      <c r="G388" s="337"/>
    </row>
    <row r="389" spans="1:7" ht="18.75" x14ac:dyDescent="0.25">
      <c r="A389" s="13"/>
      <c r="B389" s="287"/>
      <c r="C389" s="288"/>
      <c r="D389" s="287"/>
      <c r="E389" s="288"/>
      <c r="F389" s="336"/>
      <c r="G389" s="337"/>
    </row>
    <row r="390" spans="1:7" ht="18.75" x14ac:dyDescent="0.25">
      <c r="A390" s="13" t="s">
        <v>241</v>
      </c>
      <c r="B390" s="287"/>
      <c r="C390" s="288"/>
      <c r="D390" s="287"/>
      <c r="E390" s="288"/>
      <c r="F390" s="336">
        <f>'платные на 2022-2023 год'!D102</f>
        <v>0</v>
      </c>
      <c r="G390" s="337"/>
    </row>
    <row r="391" spans="1:7" ht="18.75" x14ac:dyDescent="0.25">
      <c r="A391" s="13"/>
      <c r="B391" s="287"/>
      <c r="C391" s="288"/>
      <c r="D391" s="287"/>
      <c r="E391" s="288"/>
      <c r="F391" s="336"/>
      <c r="G391" s="337"/>
    </row>
    <row r="392" spans="1:7" ht="18.75" x14ac:dyDescent="0.25">
      <c r="A392" s="13" t="s">
        <v>242</v>
      </c>
      <c r="B392" s="287"/>
      <c r="C392" s="288"/>
      <c r="D392" s="287"/>
      <c r="E392" s="288"/>
      <c r="F392" s="336">
        <f>'платные на 2022-2023 год'!D103</f>
        <v>0</v>
      </c>
      <c r="G392" s="337"/>
    </row>
    <row r="393" spans="1:7" ht="18.75" x14ac:dyDescent="0.25">
      <c r="A393" s="13"/>
      <c r="B393" s="287"/>
      <c r="C393" s="288"/>
      <c r="D393" s="287"/>
      <c r="E393" s="288"/>
      <c r="F393" s="336"/>
      <c r="G393" s="337"/>
    </row>
    <row r="394" spans="1:7" ht="18.75" x14ac:dyDescent="0.25">
      <c r="A394" s="13" t="s">
        <v>243</v>
      </c>
      <c r="B394" s="287"/>
      <c r="C394" s="288"/>
      <c r="D394" s="287"/>
      <c r="E394" s="288"/>
      <c r="F394" s="336">
        <f>'платные на 2022-2023 год'!D105</f>
        <v>0</v>
      </c>
      <c r="G394" s="337"/>
    </row>
    <row r="395" spans="1:7" ht="18.75" x14ac:dyDescent="0.25">
      <c r="A395" s="15"/>
      <c r="B395" s="16"/>
      <c r="C395" s="16"/>
      <c r="D395" s="16"/>
      <c r="E395" s="16"/>
      <c r="F395" s="78"/>
      <c r="G395" s="78"/>
    </row>
    <row r="396" spans="1:7" ht="18.75" x14ac:dyDescent="0.25">
      <c r="A396" s="29"/>
    </row>
    <row r="397" spans="1:7" ht="37.5" x14ac:dyDescent="0.3">
      <c r="A397" s="29" t="s">
        <v>151</v>
      </c>
      <c r="B397" s="10"/>
      <c r="C397" s="224"/>
      <c r="D397" s="224"/>
      <c r="E397" s="10"/>
      <c r="F397" s="224"/>
      <c r="G397" s="224"/>
    </row>
    <row r="398" spans="1:7" ht="18.75" x14ac:dyDescent="0.3">
      <c r="A398" s="29"/>
      <c r="B398" s="10"/>
      <c r="C398" s="223" t="s">
        <v>53</v>
      </c>
      <c r="D398" s="223"/>
      <c r="E398" s="10"/>
      <c r="F398" s="223" t="s">
        <v>54</v>
      </c>
      <c r="G398" s="223"/>
    </row>
    <row r="399" spans="1:7" ht="18.75" x14ac:dyDescent="0.3">
      <c r="A399" s="29"/>
      <c r="B399" s="10"/>
      <c r="C399" s="104"/>
      <c r="D399" s="104"/>
      <c r="E399" s="10"/>
      <c r="F399" s="104"/>
      <c r="G399" s="104"/>
    </row>
    <row r="400" spans="1:7" ht="56.25" x14ac:dyDescent="0.3">
      <c r="A400" s="29" t="s">
        <v>152</v>
      </c>
      <c r="B400" s="10"/>
      <c r="C400" s="224"/>
      <c r="D400" s="224"/>
      <c r="E400" s="10"/>
      <c r="F400" s="224"/>
      <c r="G400" s="224"/>
    </row>
    <row r="401" spans="1:7" ht="18.75" x14ac:dyDescent="0.3">
      <c r="A401" s="29"/>
      <c r="B401" s="10"/>
      <c r="C401" s="223" t="s">
        <v>53</v>
      </c>
      <c r="D401" s="223"/>
      <c r="E401" s="10"/>
      <c r="F401" s="223" t="s">
        <v>54</v>
      </c>
      <c r="G401" s="223"/>
    </row>
    <row r="402" spans="1:7" ht="18.75" x14ac:dyDescent="0.3">
      <c r="A402" s="29"/>
      <c r="B402" s="10"/>
      <c r="C402" s="104"/>
      <c r="D402" s="104"/>
      <c r="E402" s="10"/>
      <c r="F402" s="104"/>
      <c r="G402" s="104"/>
    </row>
    <row r="403" spans="1:7" ht="18.75" x14ac:dyDescent="0.3">
      <c r="A403" s="29" t="s">
        <v>153</v>
      </c>
      <c r="B403" s="10"/>
      <c r="C403" s="224"/>
      <c r="D403" s="224"/>
      <c r="E403" s="10"/>
      <c r="F403" s="224"/>
      <c r="G403" s="224"/>
    </row>
    <row r="404" spans="1:7" ht="18.75" x14ac:dyDescent="0.3">
      <c r="A404" s="29"/>
      <c r="B404" s="10"/>
      <c r="C404" s="223" t="s">
        <v>53</v>
      </c>
      <c r="D404" s="223"/>
      <c r="E404" s="10"/>
      <c r="F404" s="223" t="s">
        <v>54</v>
      </c>
      <c r="G404" s="223"/>
    </row>
    <row r="405" spans="1:7" ht="18.75" x14ac:dyDescent="0.3">
      <c r="A405" s="29" t="s">
        <v>154</v>
      </c>
      <c r="B405" s="10"/>
      <c r="C405" s="10"/>
      <c r="D405" s="10"/>
      <c r="E405" s="10"/>
      <c r="F405" s="10"/>
      <c r="G405" s="10"/>
    </row>
    <row r="406" spans="1:7" ht="18.75" x14ac:dyDescent="0.3">
      <c r="A406" s="222" t="s">
        <v>44</v>
      </c>
      <c r="B406" s="222"/>
      <c r="C406" s="10"/>
      <c r="D406" s="10"/>
      <c r="E406" s="10"/>
      <c r="F406" s="10"/>
      <c r="G406" s="10"/>
    </row>
  </sheetData>
  <mergeCells count="595">
    <mergeCell ref="E1:G1"/>
    <mergeCell ref="A2:G2"/>
    <mergeCell ref="A4:G4"/>
    <mergeCell ref="A5:G5"/>
    <mergeCell ref="B9:C9"/>
    <mergeCell ref="D9:E9"/>
    <mergeCell ref="F9:G9"/>
    <mergeCell ref="B12:C12"/>
    <mergeCell ref="D12:E12"/>
    <mergeCell ref="F12:G12"/>
    <mergeCell ref="A14:G14"/>
    <mergeCell ref="B18:C18"/>
    <mergeCell ref="D18:E18"/>
    <mergeCell ref="F18:G18"/>
    <mergeCell ref="B10:C10"/>
    <mergeCell ref="D10:E10"/>
    <mergeCell ref="F10:G10"/>
    <mergeCell ref="B11:C11"/>
    <mergeCell ref="D11:E11"/>
    <mergeCell ref="F11:G11"/>
    <mergeCell ref="B24:C24"/>
    <mergeCell ref="D24:E24"/>
    <mergeCell ref="F24:G24"/>
    <mergeCell ref="B25:C25"/>
    <mergeCell ref="D25:E25"/>
    <mergeCell ref="F25:G25"/>
    <mergeCell ref="B19:C19"/>
    <mergeCell ref="D19:E19"/>
    <mergeCell ref="F19:G19"/>
    <mergeCell ref="B20:C20"/>
    <mergeCell ref="D20:E20"/>
    <mergeCell ref="F20:G20"/>
    <mergeCell ref="B31:C31"/>
    <mergeCell ref="D31:E31"/>
    <mergeCell ref="F31:G31"/>
    <mergeCell ref="B32:C32"/>
    <mergeCell ref="D32:E32"/>
    <mergeCell ref="F32:G32"/>
    <mergeCell ref="B26:C26"/>
    <mergeCell ref="D26:E26"/>
    <mergeCell ref="F26:G26"/>
    <mergeCell ref="B30:C30"/>
    <mergeCell ref="D30:E30"/>
    <mergeCell ref="F30:G30"/>
    <mergeCell ref="A42:G42"/>
    <mergeCell ref="B46:C46"/>
    <mergeCell ref="D46:E46"/>
    <mergeCell ref="F46:G46"/>
    <mergeCell ref="B47:C47"/>
    <mergeCell ref="D47:E47"/>
    <mergeCell ref="F47:G47"/>
    <mergeCell ref="A34:G34"/>
    <mergeCell ref="A38:C38"/>
    <mergeCell ref="D38:G38"/>
    <mergeCell ref="A39:C39"/>
    <mergeCell ref="D39:G39"/>
    <mergeCell ref="A40:C40"/>
    <mergeCell ref="D40:G40"/>
    <mergeCell ref="B55:C55"/>
    <mergeCell ref="D55:E55"/>
    <mergeCell ref="F55:G55"/>
    <mergeCell ref="B56:C56"/>
    <mergeCell ref="D56:E56"/>
    <mergeCell ref="F56:G56"/>
    <mergeCell ref="B48:C48"/>
    <mergeCell ref="D48:E48"/>
    <mergeCell ref="F48:G48"/>
    <mergeCell ref="A50:G50"/>
    <mergeCell ref="B54:C54"/>
    <mergeCell ref="D54:E54"/>
    <mergeCell ref="F54:G54"/>
    <mergeCell ref="B64:C64"/>
    <mergeCell ref="D64:E64"/>
    <mergeCell ref="F64:G64"/>
    <mergeCell ref="B68:C68"/>
    <mergeCell ref="D68:E68"/>
    <mergeCell ref="F68:G68"/>
    <mergeCell ref="A58:G58"/>
    <mergeCell ref="B62:C62"/>
    <mergeCell ref="D62:E62"/>
    <mergeCell ref="F62:G62"/>
    <mergeCell ref="B63:C63"/>
    <mergeCell ref="D63:E63"/>
    <mergeCell ref="F63:G63"/>
    <mergeCell ref="A72:G72"/>
    <mergeCell ref="B76:C76"/>
    <mergeCell ref="D76:E76"/>
    <mergeCell ref="F76:G76"/>
    <mergeCell ref="B77:C77"/>
    <mergeCell ref="D77:E77"/>
    <mergeCell ref="F77:G77"/>
    <mergeCell ref="B69:C69"/>
    <mergeCell ref="D69:E69"/>
    <mergeCell ref="F69:G69"/>
    <mergeCell ref="B70:C70"/>
    <mergeCell ref="D70:E70"/>
    <mergeCell ref="F70:G70"/>
    <mergeCell ref="B83:C83"/>
    <mergeCell ref="D83:E83"/>
    <mergeCell ref="F83:G83"/>
    <mergeCell ref="B84:C84"/>
    <mergeCell ref="D84:E84"/>
    <mergeCell ref="F84:G84"/>
    <mergeCell ref="B78:C78"/>
    <mergeCell ref="D78:E78"/>
    <mergeCell ref="F78:G78"/>
    <mergeCell ref="B82:C82"/>
    <mergeCell ref="D82:E82"/>
    <mergeCell ref="F82:G82"/>
    <mergeCell ref="B92:C92"/>
    <mergeCell ref="D92:E92"/>
    <mergeCell ref="F92:G92"/>
    <mergeCell ref="B93:C93"/>
    <mergeCell ref="D93:E93"/>
    <mergeCell ref="F93:G93"/>
    <mergeCell ref="A86:G86"/>
    <mergeCell ref="B90:C90"/>
    <mergeCell ref="D90:E90"/>
    <mergeCell ref="F90:G90"/>
    <mergeCell ref="B91:C91"/>
    <mergeCell ref="D91:E91"/>
    <mergeCell ref="F91:G91"/>
    <mergeCell ref="D103:F103"/>
    <mergeCell ref="A109:G109"/>
    <mergeCell ref="A113:A114"/>
    <mergeCell ref="B113:C114"/>
    <mergeCell ref="D113:E114"/>
    <mergeCell ref="F113:G114"/>
    <mergeCell ref="B94:C94"/>
    <mergeCell ref="D94:E94"/>
    <mergeCell ref="F94:G94"/>
    <mergeCell ref="A96:G96"/>
    <mergeCell ref="A98:G98"/>
    <mergeCell ref="A102:A104"/>
    <mergeCell ref="B102:B104"/>
    <mergeCell ref="C102:F102"/>
    <mergeCell ref="G102:G104"/>
    <mergeCell ref="C103:C104"/>
    <mergeCell ref="A118:G118"/>
    <mergeCell ref="C122:D122"/>
    <mergeCell ref="F122:G122"/>
    <mergeCell ref="C123:D123"/>
    <mergeCell ref="F123:G123"/>
    <mergeCell ref="C124:D124"/>
    <mergeCell ref="F124:G124"/>
    <mergeCell ref="B115:C115"/>
    <mergeCell ref="D115:E115"/>
    <mergeCell ref="F115:G115"/>
    <mergeCell ref="B116:C116"/>
    <mergeCell ref="D116:E116"/>
    <mergeCell ref="F116:G116"/>
    <mergeCell ref="A134:G134"/>
    <mergeCell ref="A138:B138"/>
    <mergeCell ref="D138:E138"/>
    <mergeCell ref="F138:G138"/>
    <mergeCell ref="A139:B139"/>
    <mergeCell ref="D139:E139"/>
    <mergeCell ref="F139:G139"/>
    <mergeCell ref="A126:G126"/>
    <mergeCell ref="C130:E130"/>
    <mergeCell ref="F130:G130"/>
    <mergeCell ref="C131:E131"/>
    <mergeCell ref="F131:G131"/>
    <mergeCell ref="C132:E132"/>
    <mergeCell ref="F132:G132"/>
    <mergeCell ref="C147:D147"/>
    <mergeCell ref="F147:G147"/>
    <mergeCell ref="C148:D148"/>
    <mergeCell ref="F148:G148"/>
    <mergeCell ref="A150:G150"/>
    <mergeCell ref="C154:D154"/>
    <mergeCell ref="F154:G154"/>
    <mergeCell ref="A140:B140"/>
    <mergeCell ref="D140:E140"/>
    <mergeCell ref="F140:G140"/>
    <mergeCell ref="A142:G142"/>
    <mergeCell ref="C146:D146"/>
    <mergeCell ref="F146:G146"/>
    <mergeCell ref="C161:D161"/>
    <mergeCell ref="F161:G161"/>
    <mergeCell ref="C162:D162"/>
    <mergeCell ref="F162:G162"/>
    <mergeCell ref="C163:D163"/>
    <mergeCell ref="F163:G163"/>
    <mergeCell ref="C155:D155"/>
    <mergeCell ref="F155:G155"/>
    <mergeCell ref="C156:D156"/>
    <mergeCell ref="F156:G156"/>
    <mergeCell ref="C160:D160"/>
    <mergeCell ref="F160:G160"/>
    <mergeCell ref="B171:C171"/>
    <mergeCell ref="D171:E171"/>
    <mergeCell ref="F171:G171"/>
    <mergeCell ref="D175:E175"/>
    <mergeCell ref="F175:G175"/>
    <mergeCell ref="D176:E176"/>
    <mergeCell ref="F176:G176"/>
    <mergeCell ref="A165:G165"/>
    <mergeCell ref="B169:C169"/>
    <mergeCell ref="D169:E169"/>
    <mergeCell ref="F169:G169"/>
    <mergeCell ref="B170:C170"/>
    <mergeCell ref="D170:E170"/>
    <mergeCell ref="F170:G170"/>
    <mergeCell ref="B184:C184"/>
    <mergeCell ref="D184:E184"/>
    <mergeCell ref="F184:G184"/>
    <mergeCell ref="B185:C185"/>
    <mergeCell ref="D185:E185"/>
    <mergeCell ref="F185:G185"/>
    <mergeCell ref="D177:E177"/>
    <mergeCell ref="F177:G177"/>
    <mergeCell ref="A179:G179"/>
    <mergeCell ref="B183:C183"/>
    <mergeCell ref="D183:E183"/>
    <mergeCell ref="F183:G183"/>
    <mergeCell ref="B192:C192"/>
    <mergeCell ref="D192:E192"/>
    <mergeCell ref="F192:G192"/>
    <mergeCell ref="B193:C193"/>
    <mergeCell ref="D193:E193"/>
    <mergeCell ref="F193:G194"/>
    <mergeCell ref="B194:C194"/>
    <mergeCell ref="D194:E194"/>
    <mergeCell ref="B186:C186"/>
    <mergeCell ref="D186:E186"/>
    <mergeCell ref="F186:G186"/>
    <mergeCell ref="A188:G188"/>
    <mergeCell ref="B191:C191"/>
    <mergeCell ref="D191:E191"/>
    <mergeCell ref="F191:G191"/>
    <mergeCell ref="B200:C200"/>
    <mergeCell ref="D200:E200"/>
    <mergeCell ref="F200:G200"/>
    <mergeCell ref="B201:C201"/>
    <mergeCell ref="D201:E201"/>
    <mergeCell ref="F201:G201"/>
    <mergeCell ref="B198:C198"/>
    <mergeCell ref="D198:E198"/>
    <mergeCell ref="F198:G198"/>
    <mergeCell ref="B199:C199"/>
    <mergeCell ref="D199:E199"/>
    <mergeCell ref="F199:G199"/>
    <mergeCell ref="B207:C207"/>
    <mergeCell ref="D207:E207"/>
    <mergeCell ref="F207:G207"/>
    <mergeCell ref="B208:C208"/>
    <mergeCell ref="D208:E208"/>
    <mergeCell ref="F208:G208"/>
    <mergeCell ref="B205:C205"/>
    <mergeCell ref="D205:E205"/>
    <mergeCell ref="F205:G205"/>
    <mergeCell ref="B206:C206"/>
    <mergeCell ref="D206:E206"/>
    <mergeCell ref="F206:G206"/>
    <mergeCell ref="B216:C216"/>
    <mergeCell ref="D216:E216"/>
    <mergeCell ref="F216:G216"/>
    <mergeCell ref="B217:C217"/>
    <mergeCell ref="D217:E217"/>
    <mergeCell ref="F217:G217"/>
    <mergeCell ref="A210:G210"/>
    <mergeCell ref="B214:C214"/>
    <mergeCell ref="D214:E214"/>
    <mergeCell ref="F214:G214"/>
    <mergeCell ref="B215:C215"/>
    <mergeCell ref="D215:E215"/>
    <mergeCell ref="F215:G215"/>
    <mergeCell ref="B223:C223"/>
    <mergeCell ref="D223:E223"/>
    <mergeCell ref="F223:G223"/>
    <mergeCell ref="B224:C224"/>
    <mergeCell ref="D224:E224"/>
    <mergeCell ref="F224:G224"/>
    <mergeCell ref="B221:C221"/>
    <mergeCell ref="D221:E221"/>
    <mergeCell ref="F221:G221"/>
    <mergeCell ref="B222:C222"/>
    <mergeCell ref="D222:E222"/>
    <mergeCell ref="F222:G222"/>
    <mergeCell ref="B230:C230"/>
    <mergeCell ref="D230:E230"/>
    <mergeCell ref="F230:G230"/>
    <mergeCell ref="B231:C231"/>
    <mergeCell ref="D231:E231"/>
    <mergeCell ref="F231:G231"/>
    <mergeCell ref="B228:C228"/>
    <mergeCell ref="D228:E228"/>
    <mergeCell ref="F228:G228"/>
    <mergeCell ref="B229:C229"/>
    <mergeCell ref="D229:E229"/>
    <mergeCell ref="F229:G229"/>
    <mergeCell ref="B238:C238"/>
    <mergeCell ref="D238:E238"/>
    <mergeCell ref="F238:G238"/>
    <mergeCell ref="B239:C239"/>
    <mergeCell ref="D239:E239"/>
    <mergeCell ref="F239:G239"/>
    <mergeCell ref="A233:G233"/>
    <mergeCell ref="B236:C236"/>
    <mergeCell ref="D236:E236"/>
    <mergeCell ref="F236:G236"/>
    <mergeCell ref="B237:C237"/>
    <mergeCell ref="D237:E237"/>
    <mergeCell ref="F237:G237"/>
    <mergeCell ref="B242:C242"/>
    <mergeCell ref="D242:E242"/>
    <mergeCell ref="F242:G242"/>
    <mergeCell ref="B243:C243"/>
    <mergeCell ref="D243:E243"/>
    <mergeCell ref="F243:G243"/>
    <mergeCell ref="B240:C240"/>
    <mergeCell ref="D240:E240"/>
    <mergeCell ref="F240:G240"/>
    <mergeCell ref="B241:C241"/>
    <mergeCell ref="D241:E241"/>
    <mergeCell ref="F241:G241"/>
    <mergeCell ref="B246:C246"/>
    <mergeCell ref="D246:E246"/>
    <mergeCell ref="F246:G246"/>
    <mergeCell ref="B247:C247"/>
    <mergeCell ref="D247:E247"/>
    <mergeCell ref="F247:G247"/>
    <mergeCell ref="B244:C244"/>
    <mergeCell ref="D244:E244"/>
    <mergeCell ref="F244:G244"/>
    <mergeCell ref="B245:C245"/>
    <mergeCell ref="D245:E245"/>
    <mergeCell ref="F245:G245"/>
    <mergeCell ref="B256:C256"/>
    <mergeCell ref="D256:E256"/>
    <mergeCell ref="F256:G256"/>
    <mergeCell ref="B257:C257"/>
    <mergeCell ref="D257:E257"/>
    <mergeCell ref="F257:G257"/>
    <mergeCell ref="B248:C248"/>
    <mergeCell ref="D248:E248"/>
    <mergeCell ref="F248:G248"/>
    <mergeCell ref="A250:G250"/>
    <mergeCell ref="A251:G251"/>
    <mergeCell ref="B255:C255"/>
    <mergeCell ref="D255:E255"/>
    <mergeCell ref="F255:G255"/>
    <mergeCell ref="B265:C265"/>
    <mergeCell ref="D265:E265"/>
    <mergeCell ref="F265:G265"/>
    <mergeCell ref="B266:C266"/>
    <mergeCell ref="D266:E266"/>
    <mergeCell ref="F266:G266"/>
    <mergeCell ref="B258:C258"/>
    <mergeCell ref="D258:E258"/>
    <mergeCell ref="F258:G258"/>
    <mergeCell ref="A260:G260"/>
    <mergeCell ref="B264:C264"/>
    <mergeCell ref="D264:E264"/>
    <mergeCell ref="F264:G264"/>
    <mergeCell ref="A270:G270"/>
    <mergeCell ref="B274:C274"/>
    <mergeCell ref="D274:E274"/>
    <mergeCell ref="F274:G274"/>
    <mergeCell ref="B275:C275"/>
    <mergeCell ref="D275:E275"/>
    <mergeCell ref="F275:G275"/>
    <mergeCell ref="B267:C267"/>
    <mergeCell ref="D267:E267"/>
    <mergeCell ref="F267:G267"/>
    <mergeCell ref="B268:C268"/>
    <mergeCell ref="D268:E268"/>
    <mergeCell ref="F268:G268"/>
    <mergeCell ref="A279:G279"/>
    <mergeCell ref="B283:C283"/>
    <mergeCell ref="D283:E283"/>
    <mergeCell ref="F283:G283"/>
    <mergeCell ref="B284:C284"/>
    <mergeCell ref="D284:E284"/>
    <mergeCell ref="F284:G284"/>
    <mergeCell ref="B276:C276"/>
    <mergeCell ref="D276:E276"/>
    <mergeCell ref="F276:G276"/>
    <mergeCell ref="B277:C277"/>
    <mergeCell ref="D277:E277"/>
    <mergeCell ref="F277:G277"/>
    <mergeCell ref="B287:C287"/>
    <mergeCell ref="D287:E287"/>
    <mergeCell ref="F287:G287"/>
    <mergeCell ref="B288:C288"/>
    <mergeCell ref="D288:E288"/>
    <mergeCell ref="F288:G288"/>
    <mergeCell ref="B285:C285"/>
    <mergeCell ref="D285:E285"/>
    <mergeCell ref="F285:G285"/>
    <mergeCell ref="B286:C286"/>
    <mergeCell ref="D286:E286"/>
    <mergeCell ref="F286:G286"/>
    <mergeCell ref="B296:C296"/>
    <mergeCell ref="D296:E296"/>
    <mergeCell ref="F296:G296"/>
    <mergeCell ref="B297:C297"/>
    <mergeCell ref="D297:E297"/>
    <mergeCell ref="F297:G297"/>
    <mergeCell ref="B289:C289"/>
    <mergeCell ref="D289:E289"/>
    <mergeCell ref="F289:G289"/>
    <mergeCell ref="A291:G291"/>
    <mergeCell ref="B295:C295"/>
    <mergeCell ref="D295:E295"/>
    <mergeCell ref="F295:G295"/>
    <mergeCell ref="A305:C305"/>
    <mergeCell ref="D305:E305"/>
    <mergeCell ref="F305:G305"/>
    <mergeCell ref="A306:C306"/>
    <mergeCell ref="D306:E306"/>
    <mergeCell ref="F306:G306"/>
    <mergeCell ref="B298:C298"/>
    <mergeCell ref="D298:E298"/>
    <mergeCell ref="F298:G298"/>
    <mergeCell ref="A300:G300"/>
    <mergeCell ref="A304:C304"/>
    <mergeCell ref="D304:E304"/>
    <mergeCell ref="F304:G304"/>
    <mergeCell ref="A312:C312"/>
    <mergeCell ref="D312:E312"/>
    <mergeCell ref="F312:G312"/>
    <mergeCell ref="A313:C313"/>
    <mergeCell ref="D313:E313"/>
    <mergeCell ref="F313:G313"/>
    <mergeCell ref="A307:C307"/>
    <mergeCell ref="D307:E307"/>
    <mergeCell ref="F307:G307"/>
    <mergeCell ref="A311:C311"/>
    <mergeCell ref="D311:E311"/>
    <mergeCell ref="F311:G311"/>
    <mergeCell ref="A316:C316"/>
    <mergeCell ref="D316:E316"/>
    <mergeCell ref="F316:G316"/>
    <mergeCell ref="A317:C317"/>
    <mergeCell ref="D317:E317"/>
    <mergeCell ref="F317:G317"/>
    <mergeCell ref="A314:C314"/>
    <mergeCell ref="D314:E314"/>
    <mergeCell ref="F314:G314"/>
    <mergeCell ref="A315:C315"/>
    <mergeCell ref="D315:E315"/>
    <mergeCell ref="F315:G315"/>
    <mergeCell ref="A325:C325"/>
    <mergeCell ref="D325:E325"/>
    <mergeCell ref="F325:G325"/>
    <mergeCell ref="A326:C326"/>
    <mergeCell ref="D326:E326"/>
    <mergeCell ref="F326:G326"/>
    <mergeCell ref="A319:G319"/>
    <mergeCell ref="A323:C323"/>
    <mergeCell ref="D323:E323"/>
    <mergeCell ref="F323:G323"/>
    <mergeCell ref="A324:C324"/>
    <mergeCell ref="D324:E324"/>
    <mergeCell ref="F324:G324"/>
    <mergeCell ref="A332:C332"/>
    <mergeCell ref="D332:E332"/>
    <mergeCell ref="F332:G332"/>
    <mergeCell ref="A333:C333"/>
    <mergeCell ref="D333:E333"/>
    <mergeCell ref="F333:G333"/>
    <mergeCell ref="A330:C330"/>
    <mergeCell ref="D330:E330"/>
    <mergeCell ref="F330:G330"/>
    <mergeCell ref="A331:C331"/>
    <mergeCell ref="D331:E331"/>
    <mergeCell ref="F331:G331"/>
    <mergeCell ref="A337:G337"/>
    <mergeCell ref="A341:B341"/>
    <mergeCell ref="C341:D341"/>
    <mergeCell ref="E341:G341"/>
    <mergeCell ref="A342:B342"/>
    <mergeCell ref="C342:D342"/>
    <mergeCell ref="E342:G342"/>
    <mergeCell ref="A334:C334"/>
    <mergeCell ref="D334:E334"/>
    <mergeCell ref="F334:G334"/>
    <mergeCell ref="A335:C335"/>
    <mergeCell ref="D335:E335"/>
    <mergeCell ref="F335:G335"/>
    <mergeCell ref="A346:G346"/>
    <mergeCell ref="B350:C350"/>
    <mergeCell ref="D350:E350"/>
    <mergeCell ref="F350:G350"/>
    <mergeCell ref="B351:C351"/>
    <mergeCell ref="D351:E351"/>
    <mergeCell ref="F351:G351"/>
    <mergeCell ref="A343:B343"/>
    <mergeCell ref="C343:D343"/>
    <mergeCell ref="E343:G343"/>
    <mergeCell ref="A344:B344"/>
    <mergeCell ref="C344:D344"/>
    <mergeCell ref="E344:G344"/>
    <mergeCell ref="B354:C354"/>
    <mergeCell ref="D354:E354"/>
    <mergeCell ref="F354:G354"/>
    <mergeCell ref="B355:C355"/>
    <mergeCell ref="D355:E355"/>
    <mergeCell ref="F355:G355"/>
    <mergeCell ref="B352:C352"/>
    <mergeCell ref="D352:E352"/>
    <mergeCell ref="F352:G352"/>
    <mergeCell ref="B353:C353"/>
    <mergeCell ref="D353:E353"/>
    <mergeCell ref="F353:G353"/>
    <mergeCell ref="B363:C363"/>
    <mergeCell ref="D363:E363"/>
    <mergeCell ref="F363:G363"/>
    <mergeCell ref="B364:C364"/>
    <mergeCell ref="D364:E364"/>
    <mergeCell ref="F364:G364"/>
    <mergeCell ref="A357:G357"/>
    <mergeCell ref="B361:C361"/>
    <mergeCell ref="D361:E361"/>
    <mergeCell ref="F361:G361"/>
    <mergeCell ref="B362:C362"/>
    <mergeCell ref="D362:E362"/>
    <mergeCell ref="F362:G362"/>
    <mergeCell ref="B372:C372"/>
    <mergeCell ref="D372:E372"/>
    <mergeCell ref="F372:G372"/>
    <mergeCell ref="B373:C373"/>
    <mergeCell ref="D373:E373"/>
    <mergeCell ref="F373:G373"/>
    <mergeCell ref="A366:G366"/>
    <mergeCell ref="B370:C370"/>
    <mergeCell ref="D370:E370"/>
    <mergeCell ref="F370:G370"/>
    <mergeCell ref="B371:C371"/>
    <mergeCell ref="D371:E371"/>
    <mergeCell ref="F371:G371"/>
    <mergeCell ref="B381:C381"/>
    <mergeCell ref="D381:E381"/>
    <mergeCell ref="F381:G381"/>
    <mergeCell ref="B382:C382"/>
    <mergeCell ref="D382:E382"/>
    <mergeCell ref="F382:G382"/>
    <mergeCell ref="A375:G375"/>
    <mergeCell ref="B379:C379"/>
    <mergeCell ref="D379:E379"/>
    <mergeCell ref="F379:G379"/>
    <mergeCell ref="B380:C380"/>
    <mergeCell ref="D380:E380"/>
    <mergeCell ref="F380:G380"/>
    <mergeCell ref="B385:C385"/>
    <mergeCell ref="D385:E385"/>
    <mergeCell ref="F385:G385"/>
    <mergeCell ref="B386:C386"/>
    <mergeCell ref="D386:E386"/>
    <mergeCell ref="F386:G386"/>
    <mergeCell ref="B383:C383"/>
    <mergeCell ref="D383:E383"/>
    <mergeCell ref="F383:G383"/>
    <mergeCell ref="B384:C384"/>
    <mergeCell ref="D384:E384"/>
    <mergeCell ref="F384:G384"/>
    <mergeCell ref="B389:C389"/>
    <mergeCell ref="D389:E389"/>
    <mergeCell ref="F389:G389"/>
    <mergeCell ref="B390:C390"/>
    <mergeCell ref="D390:E390"/>
    <mergeCell ref="F390:G390"/>
    <mergeCell ref="B387:C387"/>
    <mergeCell ref="D387:E387"/>
    <mergeCell ref="F387:G387"/>
    <mergeCell ref="B388:C388"/>
    <mergeCell ref="D388:E388"/>
    <mergeCell ref="F388:G388"/>
    <mergeCell ref="B393:C393"/>
    <mergeCell ref="D393:E393"/>
    <mergeCell ref="F393:G393"/>
    <mergeCell ref="B394:C394"/>
    <mergeCell ref="D394:E394"/>
    <mergeCell ref="F394:G394"/>
    <mergeCell ref="B391:C391"/>
    <mergeCell ref="D391:E391"/>
    <mergeCell ref="F391:G391"/>
    <mergeCell ref="B392:C392"/>
    <mergeCell ref="D392:E392"/>
    <mergeCell ref="F392:G392"/>
    <mergeCell ref="A406:B406"/>
    <mergeCell ref="C401:D401"/>
    <mergeCell ref="F401:G401"/>
    <mergeCell ref="C403:D403"/>
    <mergeCell ref="F403:G403"/>
    <mergeCell ref="C404:D404"/>
    <mergeCell ref="F404:G404"/>
    <mergeCell ref="C397:D397"/>
    <mergeCell ref="F397:G397"/>
    <mergeCell ref="C398:D398"/>
    <mergeCell ref="F398:G398"/>
    <mergeCell ref="C400:D400"/>
    <mergeCell ref="F400:G400"/>
  </mergeCells>
  <pageMargins left="1.3779527559055118" right="0.39370078740157483" top="0.98425196850393704" bottom="0.78740157480314965" header="0.31496062992125984" footer="0.31496062992125984"/>
  <pageSetup paperSize="9" scale="46" orientation="portrait" r:id="rId1"/>
  <rowBreaks count="8" manualBreakCount="8">
    <brk id="32" max="16383" man="1"/>
    <brk id="84" max="16383" man="1"/>
    <brk id="133" max="16383" man="1"/>
    <brk id="171" max="16383" man="1"/>
    <brk id="209" max="16383" man="1"/>
    <brk id="258" max="16383" man="1"/>
    <brk id="299" max="16383" man="1"/>
    <brk id="34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06"/>
  <sheetViews>
    <sheetView view="pageBreakPreview" zoomScale="60" zoomScaleNormal="100" workbookViewId="0">
      <selection activeCell="F395" sqref="F395"/>
    </sheetView>
  </sheetViews>
  <sheetFormatPr defaultColWidth="8.85546875" defaultRowHeight="15" x14ac:dyDescent="0.25"/>
  <cols>
    <col min="1" max="1" width="21.7109375" style="7" customWidth="1"/>
    <col min="2" max="2" width="15.28515625" style="7" customWidth="1"/>
    <col min="3" max="7" width="16.42578125" style="7" customWidth="1"/>
    <col min="8" max="8" width="18.7109375" style="7" bestFit="1" customWidth="1"/>
    <col min="9" max="10" width="13.7109375" style="7" bestFit="1" customWidth="1"/>
    <col min="11" max="11" width="14.28515625" style="7" bestFit="1" customWidth="1"/>
    <col min="12" max="16384" width="8.85546875" style="7"/>
  </cols>
  <sheetData>
    <row r="1" spans="1:11" ht="39" customHeight="1" x14ac:dyDescent="0.25">
      <c r="A1" s="6"/>
      <c r="E1" s="319"/>
      <c r="F1" s="319"/>
      <c r="G1" s="319"/>
    </row>
    <row r="2" spans="1:11" ht="40.15" customHeight="1" x14ac:dyDescent="0.25">
      <c r="A2" s="289" t="s">
        <v>257</v>
      </c>
      <c r="B2" s="289"/>
      <c r="C2" s="289"/>
      <c r="D2" s="289"/>
      <c r="E2" s="289"/>
      <c r="F2" s="289"/>
      <c r="G2" s="289"/>
    </row>
    <row r="3" spans="1:11" ht="18.75" x14ac:dyDescent="0.25">
      <c r="A3" s="108"/>
      <c r="B3" s="108"/>
      <c r="C3" s="108"/>
      <c r="D3" s="108"/>
      <c r="E3" s="108"/>
      <c r="F3" s="108"/>
      <c r="G3" s="108"/>
    </row>
    <row r="4" spans="1:11" ht="35.450000000000003" customHeight="1" x14ac:dyDescent="0.25">
      <c r="A4" s="289" t="s">
        <v>181</v>
      </c>
      <c r="B4" s="289"/>
      <c r="C4" s="289"/>
      <c r="D4" s="289"/>
      <c r="E4" s="289"/>
      <c r="F4" s="289"/>
      <c r="G4" s="289"/>
    </row>
    <row r="5" spans="1:11" ht="35.450000000000003" customHeight="1" x14ac:dyDescent="0.25">
      <c r="A5" s="289" t="s">
        <v>168</v>
      </c>
      <c r="B5" s="289"/>
      <c r="C5" s="289"/>
      <c r="D5" s="289"/>
      <c r="E5" s="289"/>
      <c r="F5" s="289"/>
      <c r="G5" s="289"/>
    </row>
    <row r="6" spans="1:11" ht="18.75" x14ac:dyDescent="0.25">
      <c r="A6" s="105"/>
    </row>
    <row r="7" spans="1:11" ht="18.75" x14ac:dyDescent="0.3">
      <c r="A7" s="9" t="s">
        <v>255</v>
      </c>
      <c r="B7" s="10">
        <v>120</v>
      </c>
      <c r="K7" s="81" t="s">
        <v>253</v>
      </c>
    </row>
    <row r="8" spans="1:11" x14ac:dyDescent="0.25">
      <c r="A8" s="11"/>
      <c r="H8" s="7" t="s">
        <v>252</v>
      </c>
      <c r="I8" s="7" t="s">
        <v>259</v>
      </c>
      <c r="J8" s="7" t="s">
        <v>258</v>
      </c>
    </row>
    <row r="9" spans="1:11" ht="79.900000000000006" customHeight="1" x14ac:dyDescent="0.25">
      <c r="A9" s="106" t="s">
        <v>86</v>
      </c>
      <c r="B9" s="275" t="s">
        <v>166</v>
      </c>
      <c r="C9" s="275"/>
      <c r="D9" s="275" t="s">
        <v>167</v>
      </c>
      <c r="E9" s="275"/>
      <c r="F9" s="275" t="s">
        <v>94</v>
      </c>
      <c r="G9" s="275"/>
      <c r="H9" s="50">
        <f>'платные на 2022-2023 год'!D8</f>
        <v>0</v>
      </c>
      <c r="I9" s="50">
        <f>F11+F20+F26+F32+D40+F48+F56+F64+F70+F78+F84+F92+F93+F94</f>
        <v>0</v>
      </c>
      <c r="J9" s="50">
        <f>G107+F116+F124+F132+F140+F148+F156+F162+F171+F177+F185+F193+F200+F207+F216+F223+F230+F239+F241+F243+F245+F247+F257+F266+F276+F285+F286+F287+F288+F289+F297+F306+F313+F325+F332+E343+F353+F355+F363+F372+F382+F384+F386+F388+F390+F392+F394-F171</f>
        <v>0</v>
      </c>
      <c r="K9" s="80">
        <f>H9+I9-J9</f>
        <v>0</v>
      </c>
    </row>
    <row r="10" spans="1:11" ht="18.75" x14ac:dyDescent="0.25">
      <c r="A10" s="106">
        <v>1</v>
      </c>
      <c r="B10" s="275">
        <v>2</v>
      </c>
      <c r="C10" s="275"/>
      <c r="D10" s="275">
        <v>3</v>
      </c>
      <c r="E10" s="275"/>
      <c r="F10" s="275">
        <v>4</v>
      </c>
      <c r="G10" s="275"/>
      <c r="H10" s="50"/>
      <c r="I10" s="50"/>
      <c r="J10" s="50"/>
      <c r="K10" s="50"/>
    </row>
    <row r="11" spans="1:11" ht="37.5" x14ac:dyDescent="0.25">
      <c r="A11" s="13" t="s">
        <v>169</v>
      </c>
      <c r="B11" s="275"/>
      <c r="C11" s="275"/>
      <c r="D11" s="275"/>
      <c r="E11" s="275"/>
      <c r="F11" s="281">
        <f>'платные на 2022 год '!G12</f>
        <v>0</v>
      </c>
      <c r="G11" s="281"/>
    </row>
    <row r="12" spans="1:11" ht="18.75" x14ac:dyDescent="0.25">
      <c r="A12" s="13" t="s">
        <v>120</v>
      </c>
      <c r="B12" s="275"/>
      <c r="C12" s="275"/>
      <c r="D12" s="275"/>
      <c r="E12" s="275"/>
      <c r="F12" s="275"/>
      <c r="G12" s="275"/>
    </row>
    <row r="13" spans="1:11" ht="18.75" x14ac:dyDescent="0.25">
      <c r="A13" s="105"/>
    </row>
    <row r="14" spans="1:11" ht="43.9" customHeight="1" x14ac:dyDescent="0.25">
      <c r="A14" s="289" t="s">
        <v>174</v>
      </c>
      <c r="B14" s="289"/>
      <c r="C14" s="289"/>
      <c r="D14" s="289"/>
      <c r="E14" s="289"/>
      <c r="F14" s="289"/>
      <c r="G14" s="289"/>
    </row>
    <row r="15" spans="1:11" ht="18.75" x14ac:dyDescent="0.25">
      <c r="A15" s="108"/>
      <c r="B15" s="108"/>
      <c r="C15" s="108"/>
      <c r="D15" s="108"/>
      <c r="E15" s="108"/>
      <c r="F15" s="108"/>
      <c r="G15" s="108"/>
    </row>
    <row r="16" spans="1:11" ht="18.75" x14ac:dyDescent="0.3">
      <c r="A16" s="9" t="s">
        <v>255</v>
      </c>
      <c r="B16" s="10">
        <v>130</v>
      </c>
    </row>
    <row r="17" spans="1:11" x14ac:dyDescent="0.25">
      <c r="A17" s="11"/>
    </row>
    <row r="18" spans="1:11" ht="55.9" customHeight="1" x14ac:dyDescent="0.25">
      <c r="A18" s="106" t="s">
        <v>86</v>
      </c>
      <c r="B18" s="275" t="s">
        <v>172</v>
      </c>
      <c r="C18" s="275"/>
      <c r="D18" s="275" t="s">
        <v>173</v>
      </c>
      <c r="E18" s="275"/>
      <c r="F18" s="275" t="s">
        <v>171</v>
      </c>
      <c r="G18" s="275"/>
    </row>
    <row r="19" spans="1:11" ht="18.75" x14ac:dyDescent="0.25">
      <c r="A19" s="106">
        <v>1</v>
      </c>
      <c r="B19" s="275">
        <v>2</v>
      </c>
      <c r="C19" s="275"/>
      <c r="D19" s="275">
        <v>3</v>
      </c>
      <c r="E19" s="275"/>
      <c r="F19" s="275">
        <v>4</v>
      </c>
      <c r="G19" s="275"/>
    </row>
    <row r="20" spans="1:11" ht="112.5" x14ac:dyDescent="0.25">
      <c r="A20" s="13" t="s">
        <v>170</v>
      </c>
      <c r="B20" s="275" t="s">
        <v>117</v>
      </c>
      <c r="C20" s="275"/>
      <c r="D20" s="275" t="s">
        <v>117</v>
      </c>
      <c r="E20" s="275"/>
      <c r="F20" s="281">
        <v>0</v>
      </c>
      <c r="G20" s="281"/>
      <c r="H20" s="50"/>
      <c r="I20" s="50"/>
      <c r="J20" s="50"/>
      <c r="K20" s="50"/>
    </row>
    <row r="21" spans="1:11" ht="18.75" x14ac:dyDescent="0.25">
      <c r="A21" s="105"/>
    </row>
    <row r="22" spans="1:11" ht="18.75" x14ac:dyDescent="0.3">
      <c r="A22" s="9" t="s">
        <v>255</v>
      </c>
      <c r="B22" s="10">
        <v>130</v>
      </c>
    </row>
    <row r="23" spans="1:11" x14ac:dyDescent="0.25">
      <c r="A23" s="11"/>
    </row>
    <row r="24" spans="1:11" ht="41.45" customHeight="1" x14ac:dyDescent="0.25">
      <c r="A24" s="106" t="s">
        <v>86</v>
      </c>
      <c r="B24" s="275" t="s">
        <v>172</v>
      </c>
      <c r="C24" s="275"/>
      <c r="D24" s="275" t="s">
        <v>173</v>
      </c>
      <c r="E24" s="275"/>
      <c r="F24" s="275" t="s">
        <v>94</v>
      </c>
      <c r="G24" s="275"/>
    </row>
    <row r="25" spans="1:11" ht="18.75" x14ac:dyDescent="0.25">
      <c r="A25" s="106">
        <v>1</v>
      </c>
      <c r="B25" s="275">
        <v>2</v>
      </c>
      <c r="C25" s="275"/>
      <c r="D25" s="275">
        <v>3</v>
      </c>
      <c r="E25" s="275"/>
      <c r="F25" s="275">
        <v>4</v>
      </c>
      <c r="G25" s="275"/>
    </row>
    <row r="26" spans="1:11" ht="75" x14ac:dyDescent="0.25">
      <c r="A26" s="13" t="s">
        <v>164</v>
      </c>
      <c r="B26" s="275"/>
      <c r="C26" s="275"/>
      <c r="D26" s="275"/>
      <c r="E26" s="275"/>
      <c r="F26" s="281">
        <f>'платные на 2022-2023 год'!G13</f>
        <v>0</v>
      </c>
      <c r="G26" s="281"/>
    </row>
    <row r="27" spans="1:11" ht="18.75" x14ac:dyDescent="0.25">
      <c r="A27" s="105"/>
    </row>
    <row r="28" spans="1:11" ht="18.75" x14ac:dyDescent="0.3">
      <c r="A28" s="9" t="s">
        <v>255</v>
      </c>
      <c r="B28" s="10">
        <v>150</v>
      </c>
    </row>
    <row r="29" spans="1:11" x14ac:dyDescent="0.25">
      <c r="A29" s="11"/>
    </row>
    <row r="30" spans="1:11" ht="42.6" customHeight="1" x14ac:dyDescent="0.25">
      <c r="A30" s="106" t="s">
        <v>86</v>
      </c>
      <c r="B30" s="275" t="s">
        <v>172</v>
      </c>
      <c r="C30" s="275"/>
      <c r="D30" s="275" t="s">
        <v>173</v>
      </c>
      <c r="E30" s="275"/>
      <c r="F30" s="275" t="s">
        <v>183</v>
      </c>
      <c r="G30" s="275"/>
    </row>
    <row r="31" spans="1:11" ht="18.75" x14ac:dyDescent="0.25">
      <c r="A31" s="106">
        <v>1</v>
      </c>
      <c r="B31" s="275">
        <v>2</v>
      </c>
      <c r="C31" s="275"/>
      <c r="D31" s="275">
        <v>3</v>
      </c>
      <c r="E31" s="275"/>
      <c r="F31" s="275">
        <v>4</v>
      </c>
      <c r="G31" s="275"/>
    </row>
    <row r="32" spans="1:11" ht="93.75" x14ac:dyDescent="0.25">
      <c r="A32" s="13" t="s">
        <v>271</v>
      </c>
      <c r="B32" s="275" t="s">
        <v>117</v>
      </c>
      <c r="C32" s="275"/>
      <c r="D32" s="275" t="s">
        <v>117</v>
      </c>
      <c r="E32" s="275"/>
      <c r="F32" s="281">
        <f>'платные на 2022-2023 год'!G15</f>
        <v>0</v>
      </c>
      <c r="G32" s="281"/>
    </row>
    <row r="33" spans="1:7" ht="18.75" x14ac:dyDescent="0.25">
      <c r="A33" s="105"/>
    </row>
    <row r="34" spans="1:7" ht="18.75" x14ac:dyDescent="0.25">
      <c r="A34" s="289" t="s">
        <v>176</v>
      </c>
      <c r="B34" s="289"/>
      <c r="C34" s="289"/>
      <c r="D34" s="289"/>
      <c r="E34" s="289"/>
      <c r="F34" s="289"/>
      <c r="G34" s="289"/>
    </row>
    <row r="35" spans="1:7" ht="18.75" x14ac:dyDescent="0.25">
      <c r="A35" s="105"/>
    </row>
    <row r="36" spans="1:7" ht="18.75" x14ac:dyDescent="0.3">
      <c r="A36" s="9" t="s">
        <v>255</v>
      </c>
      <c r="B36" s="10">
        <v>140</v>
      </c>
    </row>
    <row r="37" spans="1:7" x14ac:dyDescent="0.25">
      <c r="A37" s="11"/>
    </row>
    <row r="38" spans="1:7" ht="37.9" customHeight="1" x14ac:dyDescent="0.25">
      <c r="A38" s="257" t="s">
        <v>86</v>
      </c>
      <c r="B38" s="286"/>
      <c r="C38" s="258"/>
      <c r="D38" s="257" t="s">
        <v>165</v>
      </c>
      <c r="E38" s="286"/>
      <c r="F38" s="286"/>
      <c r="G38" s="258"/>
    </row>
    <row r="39" spans="1:7" ht="18.75" x14ac:dyDescent="0.25">
      <c r="A39" s="257">
        <v>1</v>
      </c>
      <c r="B39" s="286"/>
      <c r="C39" s="258"/>
      <c r="D39" s="257">
        <v>3</v>
      </c>
      <c r="E39" s="286"/>
      <c r="F39" s="286"/>
      <c r="G39" s="258"/>
    </row>
    <row r="40" spans="1:7" ht="18.75" x14ac:dyDescent="0.25">
      <c r="A40" s="252" t="s">
        <v>175</v>
      </c>
      <c r="B40" s="253"/>
      <c r="C40" s="254"/>
      <c r="D40" s="255">
        <f>'платные на 2022-2023 год'!G14</f>
        <v>0</v>
      </c>
      <c r="E40" s="310"/>
      <c r="F40" s="310"/>
      <c r="G40" s="256"/>
    </row>
    <row r="41" spans="1:7" ht="18.75" x14ac:dyDescent="0.25">
      <c r="A41" s="105"/>
    </row>
    <row r="42" spans="1:7" ht="18.75" x14ac:dyDescent="0.25">
      <c r="A42" s="289" t="s">
        <v>177</v>
      </c>
      <c r="B42" s="289"/>
      <c r="C42" s="289"/>
      <c r="D42" s="289"/>
      <c r="E42" s="289"/>
      <c r="F42" s="289"/>
      <c r="G42" s="289"/>
    </row>
    <row r="43" spans="1:7" ht="18.75" x14ac:dyDescent="0.25">
      <c r="A43" s="108"/>
      <c r="B43" s="108"/>
      <c r="C43" s="108"/>
      <c r="D43" s="108"/>
      <c r="E43" s="108"/>
      <c r="F43" s="108"/>
      <c r="G43" s="108"/>
    </row>
    <row r="44" spans="1:7" ht="18.75" x14ac:dyDescent="0.3">
      <c r="A44" s="9" t="s">
        <v>255</v>
      </c>
      <c r="B44" s="10">
        <v>180</v>
      </c>
    </row>
    <row r="45" spans="1:7" x14ac:dyDescent="0.25">
      <c r="A45" s="11"/>
    </row>
    <row r="46" spans="1:7" ht="57" customHeight="1" x14ac:dyDescent="0.25">
      <c r="A46" s="106" t="s">
        <v>86</v>
      </c>
      <c r="B46" s="275" t="s">
        <v>172</v>
      </c>
      <c r="C46" s="275"/>
      <c r="D46" s="275" t="s">
        <v>173</v>
      </c>
      <c r="E46" s="275"/>
      <c r="F46" s="275" t="s">
        <v>183</v>
      </c>
      <c r="G46" s="275"/>
    </row>
    <row r="47" spans="1:7" ht="18.75" x14ac:dyDescent="0.25">
      <c r="A47" s="106">
        <v>1</v>
      </c>
      <c r="B47" s="275">
        <v>2</v>
      </c>
      <c r="C47" s="275"/>
      <c r="D47" s="275">
        <v>3</v>
      </c>
      <c r="E47" s="275"/>
      <c r="F47" s="275">
        <v>4</v>
      </c>
      <c r="G47" s="275"/>
    </row>
    <row r="48" spans="1:7" ht="37.5" x14ac:dyDescent="0.25">
      <c r="A48" s="13" t="s">
        <v>272</v>
      </c>
      <c r="B48" s="275" t="s">
        <v>117</v>
      </c>
      <c r="C48" s="275"/>
      <c r="D48" s="275" t="s">
        <v>117</v>
      </c>
      <c r="E48" s="275"/>
      <c r="F48" s="281">
        <f>'платные на 2022-2023 год'!G16</f>
        <v>0</v>
      </c>
      <c r="G48" s="281"/>
    </row>
    <row r="49" spans="1:7" ht="18.75" x14ac:dyDescent="0.25">
      <c r="A49" s="105"/>
    </row>
    <row r="50" spans="1:7" ht="18.75" x14ac:dyDescent="0.25">
      <c r="A50" s="289" t="s">
        <v>187</v>
      </c>
      <c r="B50" s="289"/>
      <c r="C50" s="289"/>
      <c r="D50" s="289"/>
      <c r="E50" s="289"/>
      <c r="F50" s="289"/>
      <c r="G50" s="289"/>
    </row>
    <row r="51" spans="1:7" ht="18.75" x14ac:dyDescent="0.25">
      <c r="A51" s="105"/>
    </row>
    <row r="52" spans="1:7" ht="18.75" x14ac:dyDescent="0.3">
      <c r="A52" s="9" t="s">
        <v>255</v>
      </c>
      <c r="B52" s="10">
        <v>180</v>
      </c>
    </row>
    <row r="53" spans="1:7" x14ac:dyDescent="0.25">
      <c r="A53" s="11"/>
    </row>
    <row r="54" spans="1:7" ht="58.9" customHeight="1" x14ac:dyDescent="0.25">
      <c r="A54" s="106" t="s">
        <v>86</v>
      </c>
      <c r="B54" s="275" t="s">
        <v>172</v>
      </c>
      <c r="C54" s="275"/>
      <c r="D54" s="275" t="s">
        <v>173</v>
      </c>
      <c r="E54" s="275"/>
      <c r="F54" s="257" t="s">
        <v>171</v>
      </c>
      <c r="G54" s="258"/>
    </row>
    <row r="55" spans="1:7" ht="18.75" x14ac:dyDescent="0.25">
      <c r="A55" s="106">
        <v>1</v>
      </c>
      <c r="B55" s="275">
        <v>2</v>
      </c>
      <c r="C55" s="275"/>
      <c r="D55" s="275">
        <v>3</v>
      </c>
      <c r="E55" s="275"/>
      <c r="F55" s="275">
        <v>4</v>
      </c>
      <c r="G55" s="275"/>
    </row>
    <row r="56" spans="1:7" ht="58.9" customHeight="1" x14ac:dyDescent="0.25">
      <c r="A56" s="13" t="s">
        <v>184</v>
      </c>
      <c r="B56" s="275" t="s">
        <v>117</v>
      </c>
      <c r="C56" s="275"/>
      <c r="D56" s="275" t="s">
        <v>117</v>
      </c>
      <c r="E56" s="275"/>
      <c r="F56" s="281">
        <v>0</v>
      </c>
      <c r="G56" s="281"/>
    </row>
    <row r="57" spans="1:7" ht="18.75" x14ac:dyDescent="0.25">
      <c r="A57" s="105"/>
    </row>
    <row r="58" spans="1:7" ht="18.75" x14ac:dyDescent="0.25">
      <c r="A58" s="289" t="s">
        <v>178</v>
      </c>
      <c r="B58" s="289"/>
      <c r="C58" s="289"/>
      <c r="D58" s="289"/>
      <c r="E58" s="289"/>
      <c r="F58" s="289"/>
      <c r="G58" s="289"/>
    </row>
    <row r="59" spans="1:7" ht="18.75" x14ac:dyDescent="0.25">
      <c r="A59" s="105"/>
    </row>
    <row r="60" spans="1:7" ht="18.75" x14ac:dyDescent="0.3">
      <c r="A60" s="9" t="s">
        <v>255</v>
      </c>
      <c r="B60" s="10">
        <v>410</v>
      </c>
    </row>
    <row r="61" spans="1:7" x14ac:dyDescent="0.25">
      <c r="A61" s="11"/>
    </row>
    <row r="62" spans="1:7" ht="51.6" customHeight="1" x14ac:dyDescent="0.25">
      <c r="A62" s="106" t="s">
        <v>86</v>
      </c>
      <c r="B62" s="275" t="s">
        <v>142</v>
      </c>
      <c r="C62" s="275"/>
      <c r="D62" s="275" t="s">
        <v>182</v>
      </c>
      <c r="E62" s="275"/>
      <c r="F62" s="275" t="s">
        <v>94</v>
      </c>
      <c r="G62" s="275"/>
    </row>
    <row r="63" spans="1:7" ht="18.75" x14ac:dyDescent="0.25">
      <c r="A63" s="106">
        <v>1</v>
      </c>
      <c r="B63" s="275">
        <v>2</v>
      </c>
      <c r="C63" s="275"/>
      <c r="D63" s="275">
        <v>3</v>
      </c>
      <c r="E63" s="275"/>
      <c r="F63" s="275">
        <v>4</v>
      </c>
      <c r="G63" s="275"/>
    </row>
    <row r="64" spans="1:7" ht="56.25" x14ac:dyDescent="0.25">
      <c r="A64" s="13" t="s">
        <v>179</v>
      </c>
      <c r="B64" s="275" t="s">
        <v>117</v>
      </c>
      <c r="C64" s="275"/>
      <c r="D64" s="275" t="s">
        <v>117</v>
      </c>
      <c r="E64" s="275"/>
      <c r="F64" s="281">
        <f>'платные на 2022-2023 год'!G19</f>
        <v>0</v>
      </c>
      <c r="G64" s="281"/>
    </row>
    <row r="65" spans="1:7" ht="18.75" x14ac:dyDescent="0.25">
      <c r="A65" s="105"/>
    </row>
    <row r="66" spans="1:7" ht="18.75" x14ac:dyDescent="0.3">
      <c r="A66" s="9" t="s">
        <v>255</v>
      </c>
      <c r="B66" s="10">
        <v>440</v>
      </c>
    </row>
    <row r="67" spans="1:7" x14ac:dyDescent="0.25">
      <c r="A67" s="11"/>
    </row>
    <row r="68" spans="1:7" ht="36.6" customHeight="1" x14ac:dyDescent="0.25">
      <c r="A68" s="106" t="s">
        <v>86</v>
      </c>
      <c r="B68" s="275" t="s">
        <v>142</v>
      </c>
      <c r="C68" s="275"/>
      <c r="D68" s="275" t="s">
        <v>182</v>
      </c>
      <c r="E68" s="275"/>
      <c r="F68" s="275" t="s">
        <v>94</v>
      </c>
      <c r="G68" s="275"/>
    </row>
    <row r="69" spans="1:7" ht="18.75" x14ac:dyDescent="0.25">
      <c r="A69" s="106">
        <v>1</v>
      </c>
      <c r="B69" s="275">
        <v>2</v>
      </c>
      <c r="C69" s="275"/>
      <c r="D69" s="275">
        <v>3</v>
      </c>
      <c r="E69" s="275"/>
      <c r="F69" s="275">
        <v>4</v>
      </c>
      <c r="G69" s="275"/>
    </row>
    <row r="70" spans="1:7" ht="56.25" x14ac:dyDescent="0.25">
      <c r="A70" s="13" t="s">
        <v>179</v>
      </c>
      <c r="B70" s="275" t="s">
        <v>117</v>
      </c>
      <c r="C70" s="275"/>
      <c r="D70" s="275" t="s">
        <v>117</v>
      </c>
      <c r="E70" s="275"/>
      <c r="F70" s="281">
        <f>'платные на 2022-2023 год'!G20</f>
        <v>0</v>
      </c>
      <c r="G70" s="281"/>
    </row>
    <row r="71" spans="1:7" ht="18.75" x14ac:dyDescent="0.25">
      <c r="A71" s="15"/>
      <c r="B71" s="19"/>
      <c r="C71" s="19"/>
      <c r="D71" s="19"/>
      <c r="E71" s="19"/>
      <c r="F71" s="82"/>
      <c r="G71" s="82"/>
    </row>
    <row r="72" spans="1:7" ht="18.75" x14ac:dyDescent="0.25">
      <c r="A72" s="289" t="s">
        <v>254</v>
      </c>
      <c r="B72" s="289"/>
      <c r="C72" s="289"/>
      <c r="D72" s="289"/>
      <c r="E72" s="289"/>
      <c r="F72" s="289"/>
      <c r="G72" s="289"/>
    </row>
    <row r="73" spans="1:7" ht="18.75" x14ac:dyDescent="0.25">
      <c r="A73" s="15"/>
      <c r="B73" s="19"/>
      <c r="C73" s="19"/>
      <c r="D73" s="19"/>
      <c r="E73" s="19"/>
      <c r="F73" s="82"/>
      <c r="G73" s="82"/>
    </row>
    <row r="74" spans="1:7" ht="18.75" x14ac:dyDescent="0.3">
      <c r="A74" s="9" t="s">
        <v>255</v>
      </c>
      <c r="B74" s="10">
        <v>510</v>
      </c>
    </row>
    <row r="75" spans="1:7" x14ac:dyDescent="0.25">
      <c r="A75" s="11"/>
    </row>
    <row r="76" spans="1:7" ht="43.15" customHeight="1" x14ac:dyDescent="0.25">
      <c r="A76" s="106" t="s">
        <v>86</v>
      </c>
      <c r="B76" s="275" t="s">
        <v>142</v>
      </c>
      <c r="C76" s="275"/>
      <c r="D76" s="275" t="s">
        <v>182</v>
      </c>
      <c r="E76" s="275"/>
      <c r="F76" s="275" t="s">
        <v>94</v>
      </c>
      <c r="G76" s="275"/>
    </row>
    <row r="77" spans="1:7" ht="18.75" x14ac:dyDescent="0.25">
      <c r="A77" s="106">
        <v>1</v>
      </c>
      <c r="B77" s="275">
        <v>2</v>
      </c>
      <c r="C77" s="275"/>
      <c r="D77" s="275">
        <v>3</v>
      </c>
      <c r="E77" s="275"/>
      <c r="F77" s="275">
        <v>4</v>
      </c>
      <c r="G77" s="275"/>
    </row>
    <row r="78" spans="1:7" ht="150" x14ac:dyDescent="0.25">
      <c r="A78" s="13" t="s">
        <v>70</v>
      </c>
      <c r="B78" s="275" t="s">
        <v>117</v>
      </c>
      <c r="C78" s="275"/>
      <c r="D78" s="275" t="s">
        <v>117</v>
      </c>
      <c r="E78" s="275"/>
      <c r="F78" s="281">
        <f>'платные на 2022-2023 год'!G23</f>
        <v>0</v>
      </c>
      <c r="G78" s="281"/>
    </row>
    <row r="79" spans="1:7" ht="18.75" x14ac:dyDescent="0.25">
      <c r="A79" s="15"/>
      <c r="B79" s="19"/>
      <c r="C79" s="19"/>
      <c r="D79" s="19"/>
      <c r="E79" s="19"/>
      <c r="F79" s="82"/>
      <c r="G79" s="82"/>
    </row>
    <row r="80" spans="1:7" ht="18.75" x14ac:dyDescent="0.3">
      <c r="A80" s="9" t="s">
        <v>255</v>
      </c>
      <c r="B80" s="10">
        <v>510</v>
      </c>
    </row>
    <row r="81" spans="1:7" x14ac:dyDescent="0.25">
      <c r="A81" s="11"/>
    </row>
    <row r="82" spans="1:7" ht="39" customHeight="1" x14ac:dyDescent="0.25">
      <c r="A82" s="106" t="s">
        <v>86</v>
      </c>
      <c r="B82" s="275" t="s">
        <v>142</v>
      </c>
      <c r="C82" s="275"/>
      <c r="D82" s="275" t="s">
        <v>182</v>
      </c>
      <c r="E82" s="275"/>
      <c r="F82" s="275" t="s">
        <v>94</v>
      </c>
      <c r="G82" s="275"/>
    </row>
    <row r="83" spans="1:7" ht="18.75" x14ac:dyDescent="0.25">
      <c r="A83" s="106">
        <v>1</v>
      </c>
      <c r="B83" s="275">
        <v>2</v>
      </c>
      <c r="C83" s="275"/>
      <c r="D83" s="275">
        <v>3</v>
      </c>
      <c r="E83" s="275"/>
      <c r="F83" s="275">
        <v>4</v>
      </c>
      <c r="G83" s="275"/>
    </row>
    <row r="84" spans="1:7" ht="187.5" x14ac:dyDescent="0.25">
      <c r="A84" s="13" t="s">
        <v>273</v>
      </c>
      <c r="B84" s="275" t="s">
        <v>117</v>
      </c>
      <c r="C84" s="275"/>
      <c r="D84" s="275" t="s">
        <v>117</v>
      </c>
      <c r="E84" s="275"/>
      <c r="F84" s="281">
        <f>'платные на 2022-2023 год'!G24</f>
        <v>0</v>
      </c>
      <c r="G84" s="281"/>
    </row>
    <row r="85" spans="1:7" ht="18.75" x14ac:dyDescent="0.25">
      <c r="A85" s="15"/>
      <c r="B85" s="19"/>
      <c r="C85" s="19"/>
      <c r="D85" s="19"/>
      <c r="E85" s="19"/>
      <c r="F85" s="19"/>
      <c r="G85" s="19"/>
    </row>
    <row r="86" spans="1:7" ht="18.75" x14ac:dyDescent="0.25">
      <c r="A86" s="289" t="s">
        <v>260</v>
      </c>
      <c r="B86" s="289"/>
      <c r="C86" s="289"/>
      <c r="D86" s="289"/>
      <c r="E86" s="289"/>
      <c r="F86" s="289"/>
      <c r="G86" s="289"/>
    </row>
    <row r="87" spans="1:7" ht="18.75" x14ac:dyDescent="0.25">
      <c r="A87" s="15"/>
      <c r="B87" s="19"/>
      <c r="C87" s="19"/>
      <c r="D87" s="19"/>
      <c r="E87" s="19"/>
      <c r="F87" s="82"/>
      <c r="G87" s="82"/>
    </row>
    <row r="88" spans="1:7" ht="18.75" x14ac:dyDescent="0.3">
      <c r="A88" s="9" t="s">
        <v>255</v>
      </c>
      <c r="B88" s="10">
        <v>180</v>
      </c>
    </row>
    <row r="89" spans="1:7" x14ac:dyDescent="0.25">
      <c r="A89" s="11"/>
    </row>
    <row r="90" spans="1:7" ht="43.9" customHeight="1" x14ac:dyDescent="0.25">
      <c r="A90" s="106" t="s">
        <v>86</v>
      </c>
      <c r="B90" s="275" t="s">
        <v>142</v>
      </c>
      <c r="C90" s="275"/>
      <c r="D90" s="275" t="s">
        <v>182</v>
      </c>
      <c r="E90" s="275"/>
      <c r="F90" s="275" t="s">
        <v>94</v>
      </c>
      <c r="G90" s="275"/>
    </row>
    <row r="91" spans="1:7" ht="18.75" x14ac:dyDescent="0.25">
      <c r="A91" s="106">
        <v>1</v>
      </c>
      <c r="B91" s="275">
        <v>2</v>
      </c>
      <c r="C91" s="275"/>
      <c r="D91" s="275">
        <v>3</v>
      </c>
      <c r="E91" s="275"/>
      <c r="F91" s="275">
        <v>4</v>
      </c>
      <c r="G91" s="275"/>
    </row>
    <row r="92" spans="1:7" ht="37.5" x14ac:dyDescent="0.25">
      <c r="A92" s="103" t="s">
        <v>194</v>
      </c>
      <c r="B92" s="257" t="s">
        <v>117</v>
      </c>
      <c r="C92" s="258"/>
      <c r="D92" s="257" t="s">
        <v>117</v>
      </c>
      <c r="E92" s="258"/>
      <c r="F92" s="281">
        <f>'платные на 2022-2023 год'!G108</f>
        <v>0</v>
      </c>
      <c r="G92" s="275"/>
    </row>
    <row r="93" spans="1:7" ht="56.25" x14ac:dyDescent="0.25">
      <c r="A93" s="103" t="s">
        <v>195</v>
      </c>
      <c r="B93" s="257" t="s">
        <v>117</v>
      </c>
      <c r="C93" s="258"/>
      <c r="D93" s="257" t="s">
        <v>117</v>
      </c>
      <c r="E93" s="258"/>
      <c r="F93" s="281">
        <f>'платные на 2022-2023 год'!G109</f>
        <v>0</v>
      </c>
      <c r="G93" s="275"/>
    </row>
    <row r="94" spans="1:7" ht="57" thickBot="1" x14ac:dyDescent="0.3">
      <c r="A94" s="32" t="s">
        <v>196</v>
      </c>
      <c r="B94" s="257" t="s">
        <v>117</v>
      </c>
      <c r="C94" s="258"/>
      <c r="D94" s="257" t="s">
        <v>117</v>
      </c>
      <c r="E94" s="258"/>
      <c r="F94" s="281">
        <f>'платные на 2022-2023 год'!G110</f>
        <v>0</v>
      </c>
      <c r="G94" s="275"/>
    </row>
    <row r="95" spans="1:7" ht="18.75" x14ac:dyDescent="0.25">
      <c r="A95" s="15"/>
      <c r="B95" s="19"/>
      <c r="C95" s="19"/>
      <c r="D95" s="19"/>
      <c r="E95" s="19"/>
      <c r="F95" s="19"/>
      <c r="G95" s="19"/>
    </row>
    <row r="96" spans="1:7" ht="48.6" customHeight="1" x14ac:dyDescent="0.25">
      <c r="A96" s="289" t="s">
        <v>188</v>
      </c>
      <c r="B96" s="289"/>
      <c r="C96" s="289"/>
      <c r="D96" s="289"/>
      <c r="E96" s="289"/>
      <c r="F96" s="289"/>
      <c r="G96" s="289"/>
    </row>
    <row r="97" spans="1:7" ht="18.75" x14ac:dyDescent="0.25">
      <c r="A97" s="8"/>
    </row>
    <row r="98" spans="1:7" ht="18.75" x14ac:dyDescent="0.25">
      <c r="A98" s="274" t="s">
        <v>189</v>
      </c>
      <c r="B98" s="274"/>
      <c r="C98" s="274"/>
      <c r="D98" s="274"/>
      <c r="E98" s="274"/>
      <c r="F98" s="274"/>
      <c r="G98" s="274"/>
    </row>
    <row r="99" spans="1:7" ht="18.75" x14ac:dyDescent="0.25">
      <c r="A99" s="9"/>
    </row>
    <row r="100" spans="1:7" ht="18.75" x14ac:dyDescent="0.3">
      <c r="A100" s="9" t="s">
        <v>145</v>
      </c>
      <c r="B100" s="10">
        <v>111</v>
      </c>
    </row>
    <row r="101" spans="1:7" x14ac:dyDescent="0.25">
      <c r="A101" s="11"/>
    </row>
    <row r="102" spans="1:7" ht="54" customHeight="1" x14ac:dyDescent="0.25">
      <c r="A102" s="275" t="s">
        <v>76</v>
      </c>
      <c r="B102" s="275" t="s">
        <v>77</v>
      </c>
      <c r="C102" s="275" t="s">
        <v>78</v>
      </c>
      <c r="D102" s="275"/>
      <c r="E102" s="275"/>
      <c r="F102" s="275"/>
      <c r="G102" s="275" t="s">
        <v>79</v>
      </c>
    </row>
    <row r="103" spans="1:7" ht="18.75" x14ac:dyDescent="0.25">
      <c r="A103" s="275"/>
      <c r="B103" s="275"/>
      <c r="C103" s="275" t="s">
        <v>80</v>
      </c>
      <c r="D103" s="275" t="s">
        <v>6</v>
      </c>
      <c r="E103" s="275"/>
      <c r="F103" s="275"/>
      <c r="G103" s="275"/>
    </row>
    <row r="104" spans="1:7" ht="75" x14ac:dyDescent="0.25">
      <c r="A104" s="275"/>
      <c r="B104" s="275"/>
      <c r="C104" s="275"/>
      <c r="D104" s="12" t="s">
        <v>81</v>
      </c>
      <c r="E104" s="12" t="s">
        <v>82</v>
      </c>
      <c r="F104" s="12" t="s">
        <v>83</v>
      </c>
      <c r="G104" s="275"/>
    </row>
    <row r="105" spans="1:7" ht="18.75" x14ac:dyDescent="0.25">
      <c r="A105" s="106">
        <v>1</v>
      </c>
      <c r="B105" s="106">
        <v>2</v>
      </c>
      <c r="C105" s="106">
        <v>3</v>
      </c>
      <c r="D105" s="106">
        <v>4</v>
      </c>
      <c r="E105" s="106">
        <v>4</v>
      </c>
      <c r="F105" s="106">
        <v>5</v>
      </c>
      <c r="G105" s="106">
        <v>7</v>
      </c>
    </row>
    <row r="106" spans="1:7" ht="18.75" x14ac:dyDescent="0.25">
      <c r="A106" s="106"/>
      <c r="B106" s="106"/>
      <c r="C106" s="107"/>
      <c r="D106" s="107"/>
      <c r="E106" s="107"/>
      <c r="F106" s="107"/>
      <c r="G106" s="107"/>
    </row>
    <row r="107" spans="1:7" ht="18.75" x14ac:dyDescent="0.25">
      <c r="A107" s="106" t="s">
        <v>146</v>
      </c>
      <c r="B107" s="106"/>
      <c r="C107" s="107"/>
      <c r="D107" s="107"/>
      <c r="E107" s="107"/>
      <c r="F107" s="107"/>
      <c r="G107" s="107">
        <f>'платные на 2022-2023 год'!G31+'платные на 2022-2023 год'!G67</f>
        <v>0</v>
      </c>
    </row>
    <row r="108" spans="1:7" ht="18.75" x14ac:dyDescent="0.25">
      <c r="A108" s="8"/>
    </row>
    <row r="109" spans="1:7" ht="18.75" x14ac:dyDescent="0.25">
      <c r="A109" s="274" t="s">
        <v>180</v>
      </c>
      <c r="B109" s="274"/>
      <c r="C109" s="274"/>
      <c r="D109" s="274"/>
      <c r="E109" s="274"/>
      <c r="F109" s="274"/>
      <c r="G109" s="274"/>
    </row>
    <row r="110" spans="1:7" ht="18.75" x14ac:dyDescent="0.25">
      <c r="A110" s="111"/>
      <c r="B110" s="111"/>
      <c r="C110" s="111"/>
      <c r="D110" s="111"/>
      <c r="E110" s="111"/>
      <c r="F110" s="111"/>
      <c r="G110" s="111"/>
    </row>
    <row r="111" spans="1:7" ht="18.75" x14ac:dyDescent="0.3">
      <c r="A111" s="9" t="s">
        <v>145</v>
      </c>
      <c r="B111" s="10">
        <v>119</v>
      </c>
    </row>
    <row r="112" spans="1:7" x14ac:dyDescent="0.25">
      <c r="A112" s="11"/>
    </row>
    <row r="113" spans="1:7" ht="129" customHeight="1" x14ac:dyDescent="0.25">
      <c r="A113" s="275" t="s">
        <v>84</v>
      </c>
      <c r="B113" s="275" t="s">
        <v>244</v>
      </c>
      <c r="C113" s="275"/>
      <c r="D113" s="275" t="s">
        <v>185</v>
      </c>
      <c r="E113" s="275"/>
      <c r="F113" s="275" t="s">
        <v>85</v>
      </c>
      <c r="G113" s="275"/>
    </row>
    <row r="114" spans="1:7" ht="15" customHeight="1" x14ac:dyDescent="0.25">
      <c r="A114" s="275"/>
      <c r="B114" s="275"/>
      <c r="C114" s="275"/>
      <c r="D114" s="275"/>
      <c r="E114" s="275"/>
      <c r="F114" s="275"/>
      <c r="G114" s="275"/>
    </row>
    <row r="115" spans="1:7" ht="18.75" x14ac:dyDescent="0.25">
      <c r="A115" s="106">
        <v>1</v>
      </c>
      <c r="B115" s="275">
        <v>2</v>
      </c>
      <c r="C115" s="275"/>
      <c r="D115" s="275">
        <v>3</v>
      </c>
      <c r="E115" s="275"/>
      <c r="F115" s="275">
        <v>4</v>
      </c>
      <c r="G115" s="275"/>
    </row>
    <row r="116" spans="1:7" ht="18.75" x14ac:dyDescent="0.25">
      <c r="A116" s="13"/>
      <c r="B116" s="281">
        <f>'платные на 2022-2023 год'!G31+'платные на 2022-2023 год'!G33+'платные на 2022-2023 год'!G67</f>
        <v>0</v>
      </c>
      <c r="C116" s="281"/>
      <c r="D116" s="281">
        <f>G107</f>
        <v>0</v>
      </c>
      <c r="E116" s="281"/>
      <c r="F116" s="281">
        <f>B116-D116</f>
        <v>0</v>
      </c>
      <c r="G116" s="281"/>
    </row>
    <row r="117" spans="1:7" ht="18.75" x14ac:dyDescent="0.25">
      <c r="A117" s="8"/>
    </row>
    <row r="118" spans="1:7" ht="51" customHeight="1" x14ac:dyDescent="0.25">
      <c r="A118" s="282" t="s">
        <v>203</v>
      </c>
      <c r="B118" s="282"/>
      <c r="C118" s="282"/>
      <c r="D118" s="282"/>
      <c r="E118" s="282"/>
      <c r="F118" s="282"/>
      <c r="G118" s="282"/>
    </row>
    <row r="119" spans="1:7" ht="18.75" x14ac:dyDescent="0.25">
      <c r="A119" s="9"/>
    </row>
    <row r="120" spans="1:7" ht="18.75" x14ac:dyDescent="0.3">
      <c r="A120" s="9" t="s">
        <v>147</v>
      </c>
      <c r="B120" s="10">
        <v>112</v>
      </c>
    </row>
    <row r="121" spans="1:7" x14ac:dyDescent="0.25">
      <c r="A121" s="11"/>
    </row>
    <row r="122" spans="1:7" ht="108.6" customHeight="1" x14ac:dyDescent="0.25">
      <c r="A122" s="106" t="s">
        <v>86</v>
      </c>
      <c r="B122" s="106" t="s">
        <v>87</v>
      </c>
      <c r="C122" s="275" t="s">
        <v>88</v>
      </c>
      <c r="D122" s="275"/>
      <c r="E122" s="106" t="s">
        <v>89</v>
      </c>
      <c r="F122" s="275" t="s">
        <v>90</v>
      </c>
      <c r="G122" s="275"/>
    </row>
    <row r="123" spans="1:7" ht="18.75" x14ac:dyDescent="0.25">
      <c r="A123" s="106">
        <v>1</v>
      </c>
      <c r="B123" s="106">
        <v>2</v>
      </c>
      <c r="C123" s="275">
        <v>3</v>
      </c>
      <c r="D123" s="275"/>
      <c r="E123" s="106">
        <v>4</v>
      </c>
      <c r="F123" s="275">
        <v>5</v>
      </c>
      <c r="G123" s="275"/>
    </row>
    <row r="124" spans="1:7" ht="18.75" x14ac:dyDescent="0.25">
      <c r="A124" s="13" t="s">
        <v>91</v>
      </c>
      <c r="B124" s="109"/>
      <c r="C124" s="275"/>
      <c r="D124" s="275"/>
      <c r="E124" s="14"/>
      <c r="F124" s="281">
        <f>'платные на 2022-2023 год'!G32</f>
        <v>0</v>
      </c>
      <c r="G124" s="281"/>
    </row>
    <row r="125" spans="1:7" ht="18.75" x14ac:dyDescent="0.25">
      <c r="A125" s="8"/>
    </row>
    <row r="126" spans="1:7" ht="33" customHeight="1" x14ac:dyDescent="0.25">
      <c r="A126" s="282" t="s">
        <v>227</v>
      </c>
      <c r="B126" s="282"/>
      <c r="C126" s="282"/>
      <c r="D126" s="282"/>
      <c r="E126" s="282"/>
      <c r="F126" s="282"/>
      <c r="G126" s="282"/>
    </row>
    <row r="127" spans="1:7" ht="18.75" x14ac:dyDescent="0.25">
      <c r="A127" s="9"/>
    </row>
    <row r="128" spans="1:7" ht="18.75" x14ac:dyDescent="0.3">
      <c r="A128" s="9" t="s">
        <v>147</v>
      </c>
      <c r="B128" s="10">
        <v>112</v>
      </c>
    </row>
    <row r="129" spans="1:7" x14ac:dyDescent="0.25">
      <c r="A129" s="11"/>
    </row>
    <row r="130" spans="1:7" ht="37.5" x14ac:dyDescent="0.25">
      <c r="A130" s="106" t="s">
        <v>86</v>
      </c>
      <c r="B130" s="106" t="s">
        <v>228</v>
      </c>
      <c r="C130" s="257" t="s">
        <v>229</v>
      </c>
      <c r="D130" s="286"/>
      <c r="E130" s="258"/>
      <c r="F130" s="275" t="s">
        <v>94</v>
      </c>
      <c r="G130" s="275"/>
    </row>
    <row r="131" spans="1:7" ht="18.75" x14ac:dyDescent="0.25">
      <c r="A131" s="106">
        <v>1</v>
      </c>
      <c r="B131" s="106">
        <v>2</v>
      </c>
      <c r="C131" s="257">
        <v>3</v>
      </c>
      <c r="D131" s="286"/>
      <c r="E131" s="258"/>
      <c r="F131" s="275">
        <v>4</v>
      </c>
      <c r="G131" s="275"/>
    </row>
    <row r="132" spans="1:7" ht="18.75" x14ac:dyDescent="0.25">
      <c r="A132" s="13"/>
      <c r="B132" s="109"/>
      <c r="C132" s="257"/>
      <c r="D132" s="286"/>
      <c r="E132" s="258"/>
      <c r="F132" s="281">
        <f>'платные на 2022-2023 год'!G35</f>
        <v>0</v>
      </c>
      <c r="G132" s="281"/>
    </row>
    <row r="133" spans="1:7" ht="18.75" x14ac:dyDescent="0.25">
      <c r="A133" s="15"/>
      <c r="B133" s="16"/>
      <c r="C133" s="19"/>
      <c r="D133" s="19"/>
      <c r="E133" s="20"/>
      <c r="F133" s="19"/>
      <c r="G133" s="19"/>
    </row>
    <row r="134" spans="1:7" ht="38.450000000000003" customHeight="1" x14ac:dyDescent="0.25">
      <c r="A134" s="282" t="s">
        <v>204</v>
      </c>
      <c r="B134" s="282"/>
      <c r="C134" s="282"/>
      <c r="D134" s="282"/>
      <c r="E134" s="282"/>
      <c r="F134" s="282"/>
      <c r="G134" s="282"/>
    </row>
    <row r="135" spans="1:7" ht="18.75" x14ac:dyDescent="0.25">
      <c r="A135" s="9"/>
    </row>
    <row r="136" spans="1:7" ht="18.75" x14ac:dyDescent="0.3">
      <c r="A136" s="9" t="s">
        <v>145</v>
      </c>
      <c r="B136" s="10">
        <v>112</v>
      </c>
    </row>
    <row r="137" spans="1:7" x14ac:dyDescent="0.25">
      <c r="A137" s="11"/>
    </row>
    <row r="138" spans="1:7" ht="75" x14ac:dyDescent="0.25">
      <c r="A138" s="275" t="s">
        <v>86</v>
      </c>
      <c r="B138" s="275"/>
      <c r="C138" s="106" t="s">
        <v>92</v>
      </c>
      <c r="D138" s="275" t="s">
        <v>93</v>
      </c>
      <c r="E138" s="275"/>
      <c r="F138" s="275" t="s">
        <v>94</v>
      </c>
      <c r="G138" s="275"/>
    </row>
    <row r="139" spans="1:7" ht="18.75" x14ac:dyDescent="0.25">
      <c r="A139" s="257">
        <v>1</v>
      </c>
      <c r="B139" s="258"/>
      <c r="C139" s="106">
        <v>2</v>
      </c>
      <c r="D139" s="257">
        <v>3</v>
      </c>
      <c r="E139" s="258"/>
      <c r="F139" s="257">
        <v>4</v>
      </c>
      <c r="G139" s="258"/>
    </row>
    <row r="140" spans="1:7" ht="18.75" x14ac:dyDescent="0.25">
      <c r="A140" s="257"/>
      <c r="B140" s="258"/>
      <c r="C140" s="106"/>
      <c r="D140" s="257"/>
      <c r="E140" s="258"/>
      <c r="F140" s="255">
        <f>'платные на 2022-2023 год'!G41</f>
        <v>0</v>
      </c>
      <c r="G140" s="256"/>
    </row>
    <row r="141" spans="1:7" ht="18.75" x14ac:dyDescent="0.25">
      <c r="A141" s="8"/>
    </row>
    <row r="142" spans="1:7" ht="36.6" customHeight="1" x14ac:dyDescent="0.25">
      <c r="A142" s="282" t="s">
        <v>205</v>
      </c>
      <c r="B142" s="282"/>
      <c r="C142" s="282"/>
      <c r="D142" s="282"/>
      <c r="E142" s="282"/>
      <c r="F142" s="282"/>
      <c r="G142" s="282"/>
    </row>
    <row r="143" spans="1:7" ht="18.75" x14ac:dyDescent="0.25">
      <c r="A143" s="110"/>
      <c r="B143" s="110"/>
      <c r="C143" s="110"/>
      <c r="D143" s="110"/>
      <c r="E143" s="110"/>
      <c r="F143" s="110"/>
      <c r="G143" s="110"/>
    </row>
    <row r="144" spans="1:7" ht="18.75" x14ac:dyDescent="0.3">
      <c r="A144" s="9" t="s">
        <v>147</v>
      </c>
      <c r="B144" s="10">
        <v>112</v>
      </c>
    </row>
    <row r="145" spans="1:7" x14ac:dyDescent="0.25">
      <c r="A145" s="11"/>
    </row>
    <row r="146" spans="1:7" ht="108.6" customHeight="1" x14ac:dyDescent="0.25">
      <c r="A146" s="106" t="s">
        <v>86</v>
      </c>
      <c r="B146" s="106" t="s">
        <v>87</v>
      </c>
      <c r="C146" s="275" t="s">
        <v>88</v>
      </c>
      <c r="D146" s="275"/>
      <c r="E146" s="106" t="s">
        <v>89</v>
      </c>
      <c r="F146" s="275" t="s">
        <v>90</v>
      </c>
      <c r="G146" s="275"/>
    </row>
    <row r="147" spans="1:7" ht="18.75" x14ac:dyDescent="0.25">
      <c r="A147" s="106">
        <v>1</v>
      </c>
      <c r="B147" s="106">
        <v>2</v>
      </c>
      <c r="C147" s="275">
        <v>3</v>
      </c>
      <c r="D147" s="275"/>
      <c r="E147" s="106">
        <v>4</v>
      </c>
      <c r="F147" s="275">
        <v>5</v>
      </c>
      <c r="G147" s="275"/>
    </row>
    <row r="148" spans="1:7" ht="37.5" x14ac:dyDescent="0.25">
      <c r="A148" s="13" t="s">
        <v>95</v>
      </c>
      <c r="B148" s="109"/>
      <c r="C148" s="275"/>
      <c r="D148" s="275"/>
      <c r="E148" s="14"/>
      <c r="F148" s="281">
        <f>'платные на 2022-2023 год'!G55</f>
        <v>0</v>
      </c>
      <c r="G148" s="281"/>
    </row>
    <row r="149" spans="1:7" ht="18.75" x14ac:dyDescent="0.25">
      <c r="A149" s="8"/>
    </row>
    <row r="150" spans="1:7" ht="41.45" customHeight="1" x14ac:dyDescent="0.25">
      <c r="A150" s="282" t="s">
        <v>206</v>
      </c>
      <c r="B150" s="282"/>
      <c r="C150" s="282"/>
      <c r="D150" s="282"/>
      <c r="E150" s="282"/>
      <c r="F150" s="282"/>
      <c r="G150" s="282"/>
    </row>
    <row r="151" spans="1:7" ht="18.75" x14ac:dyDescent="0.25">
      <c r="A151" s="9"/>
    </row>
    <row r="152" spans="1:7" ht="18.75" x14ac:dyDescent="0.3">
      <c r="A152" s="9" t="s">
        <v>145</v>
      </c>
      <c r="B152" s="10">
        <v>113</v>
      </c>
    </row>
    <row r="153" spans="1:7" x14ac:dyDescent="0.25">
      <c r="A153" s="11"/>
    </row>
    <row r="154" spans="1:7" ht="108.6" customHeight="1" x14ac:dyDescent="0.25">
      <c r="A154" s="106" t="s">
        <v>86</v>
      </c>
      <c r="B154" s="106" t="s">
        <v>96</v>
      </c>
      <c r="C154" s="275" t="s">
        <v>97</v>
      </c>
      <c r="D154" s="275"/>
      <c r="E154" s="106" t="s">
        <v>89</v>
      </c>
      <c r="F154" s="275" t="s">
        <v>90</v>
      </c>
      <c r="G154" s="275"/>
    </row>
    <row r="155" spans="1:7" ht="18.75" x14ac:dyDescent="0.3">
      <c r="A155" s="106">
        <v>1</v>
      </c>
      <c r="B155" s="106">
        <v>2</v>
      </c>
      <c r="C155" s="275">
        <v>3</v>
      </c>
      <c r="D155" s="275"/>
      <c r="E155" s="106">
        <v>4</v>
      </c>
      <c r="F155" s="248">
        <v>5</v>
      </c>
      <c r="G155" s="249"/>
    </row>
    <row r="156" spans="1:7" ht="93.75" x14ac:dyDescent="0.25">
      <c r="A156" s="13" t="s">
        <v>98</v>
      </c>
      <c r="B156" s="107"/>
      <c r="C156" s="281"/>
      <c r="D156" s="281"/>
      <c r="E156" s="79"/>
      <c r="F156" s="299">
        <f>'платные на 2022-2023 год'!G56</f>
        <v>0</v>
      </c>
      <c r="G156" s="300"/>
    </row>
    <row r="157" spans="1:7" ht="18.75" x14ac:dyDescent="0.25">
      <c r="A157" s="8"/>
    </row>
    <row r="158" spans="1:7" ht="18.75" x14ac:dyDescent="0.3">
      <c r="A158" s="9" t="s">
        <v>145</v>
      </c>
      <c r="B158" s="10">
        <v>119</v>
      </c>
    </row>
    <row r="159" spans="1:7" x14ac:dyDescent="0.25">
      <c r="A159" s="11"/>
    </row>
    <row r="160" spans="1:7" ht="56.25" x14ac:dyDescent="0.25">
      <c r="A160" s="106" t="s">
        <v>86</v>
      </c>
      <c r="B160" s="106" t="s">
        <v>96</v>
      </c>
      <c r="C160" s="275" t="s">
        <v>97</v>
      </c>
      <c r="D160" s="275"/>
      <c r="E160" s="106" t="s">
        <v>89</v>
      </c>
      <c r="F160" s="275" t="s">
        <v>90</v>
      </c>
      <c r="G160" s="275"/>
    </row>
    <row r="161" spans="1:7" ht="18.75" x14ac:dyDescent="0.3">
      <c r="A161" s="106">
        <v>1</v>
      </c>
      <c r="B161" s="106">
        <v>2</v>
      </c>
      <c r="C161" s="275">
        <v>3</v>
      </c>
      <c r="D161" s="275"/>
      <c r="E161" s="106">
        <v>4</v>
      </c>
      <c r="F161" s="248">
        <v>5</v>
      </c>
      <c r="G161" s="249"/>
    </row>
    <row r="162" spans="1:7" ht="75" x14ac:dyDescent="0.25">
      <c r="A162" s="13" t="s">
        <v>157</v>
      </c>
      <c r="B162" s="107"/>
      <c r="C162" s="281"/>
      <c r="D162" s="281"/>
      <c r="E162" s="79"/>
      <c r="F162" s="299">
        <f>'платные на 2022-2023 год'!G57</f>
        <v>0</v>
      </c>
      <c r="G162" s="300"/>
    </row>
    <row r="163" spans="1:7" ht="18.75" x14ac:dyDescent="0.25">
      <c r="A163" s="13" t="s">
        <v>120</v>
      </c>
      <c r="B163" s="109"/>
      <c r="C163" s="257"/>
      <c r="D163" s="258"/>
      <c r="E163" s="14"/>
      <c r="F163" s="338"/>
      <c r="G163" s="340"/>
    </row>
    <row r="164" spans="1:7" ht="18.75" x14ac:dyDescent="0.25">
      <c r="A164" s="8"/>
    </row>
    <row r="165" spans="1:7" ht="36" customHeight="1" x14ac:dyDescent="0.25">
      <c r="A165" s="282" t="s">
        <v>207</v>
      </c>
      <c r="B165" s="282"/>
      <c r="C165" s="282"/>
      <c r="D165" s="282"/>
      <c r="E165" s="282"/>
      <c r="F165" s="282"/>
      <c r="G165" s="282"/>
    </row>
    <row r="166" spans="1:7" ht="18.75" x14ac:dyDescent="0.25">
      <c r="A166" s="110"/>
      <c r="B166" s="110"/>
      <c r="C166" s="110"/>
      <c r="D166" s="110"/>
      <c r="E166" s="110"/>
      <c r="F166" s="110"/>
      <c r="G166" s="110"/>
    </row>
    <row r="167" spans="1:7" ht="18.75" x14ac:dyDescent="0.3">
      <c r="A167" s="9" t="s">
        <v>145</v>
      </c>
      <c r="B167" s="10">
        <v>111</v>
      </c>
    </row>
    <row r="168" spans="1:7" x14ac:dyDescent="0.25">
      <c r="A168" s="11"/>
    </row>
    <row r="169" spans="1:7" ht="72.599999999999994" customHeight="1" x14ac:dyDescent="0.25">
      <c r="A169" s="106" t="s">
        <v>86</v>
      </c>
      <c r="B169" s="275" t="s">
        <v>99</v>
      </c>
      <c r="C169" s="275"/>
      <c r="D169" s="275" t="s">
        <v>100</v>
      </c>
      <c r="E169" s="275"/>
      <c r="F169" s="275" t="s">
        <v>101</v>
      </c>
      <c r="G169" s="275"/>
    </row>
    <row r="170" spans="1:7" ht="18.75" x14ac:dyDescent="0.3">
      <c r="A170" s="106">
        <v>1</v>
      </c>
      <c r="B170" s="257">
        <v>2</v>
      </c>
      <c r="C170" s="258"/>
      <c r="D170" s="257">
        <v>3</v>
      </c>
      <c r="E170" s="258"/>
      <c r="F170" s="248">
        <v>4</v>
      </c>
      <c r="G170" s="249"/>
    </row>
    <row r="171" spans="1:7" ht="93.75" x14ac:dyDescent="0.25">
      <c r="A171" s="13" t="s">
        <v>102</v>
      </c>
      <c r="B171" s="257"/>
      <c r="C171" s="258"/>
      <c r="D171" s="257"/>
      <c r="E171" s="258"/>
      <c r="F171" s="299">
        <f>'платные на 2022-2023 год'!G67</f>
        <v>0</v>
      </c>
      <c r="G171" s="300"/>
    </row>
    <row r="172" spans="1:7" ht="18.75" x14ac:dyDescent="0.25">
      <c r="A172" s="15"/>
      <c r="B172" s="16"/>
      <c r="C172" s="16"/>
      <c r="D172" s="16"/>
      <c r="E172" s="16"/>
      <c r="F172" s="17"/>
      <c r="G172" s="17"/>
    </row>
    <row r="173" spans="1:7" ht="18.75" x14ac:dyDescent="0.3">
      <c r="A173" s="9" t="s">
        <v>145</v>
      </c>
      <c r="B173" s="10">
        <v>112</v>
      </c>
    </row>
    <row r="174" spans="1:7" x14ac:dyDescent="0.25">
      <c r="A174" s="11"/>
    </row>
    <row r="175" spans="1:7" ht="112.5" x14ac:dyDescent="0.25">
      <c r="A175" s="106" t="s">
        <v>86</v>
      </c>
      <c r="B175" s="106" t="s">
        <v>99</v>
      </c>
      <c r="C175" s="106" t="s">
        <v>103</v>
      </c>
      <c r="D175" s="275" t="s">
        <v>104</v>
      </c>
      <c r="E175" s="275"/>
      <c r="F175" s="275" t="s">
        <v>90</v>
      </c>
      <c r="G175" s="275"/>
    </row>
    <row r="176" spans="1:7" ht="18.75" x14ac:dyDescent="0.25">
      <c r="A176" s="106">
        <v>1</v>
      </c>
      <c r="B176" s="106">
        <v>2</v>
      </c>
      <c r="C176" s="106">
        <v>3</v>
      </c>
      <c r="D176" s="275">
        <v>4</v>
      </c>
      <c r="E176" s="275"/>
      <c r="F176" s="275">
        <v>5</v>
      </c>
      <c r="G176" s="275"/>
    </row>
    <row r="177" spans="1:7" ht="56.25" x14ac:dyDescent="0.25">
      <c r="A177" s="13" t="s">
        <v>105</v>
      </c>
      <c r="B177" s="109"/>
      <c r="C177" s="106"/>
      <c r="D177" s="257"/>
      <c r="E177" s="258"/>
      <c r="F177" s="255">
        <f>'платные на 2022-2023 год'!G70</f>
        <v>0</v>
      </c>
      <c r="G177" s="256"/>
    </row>
    <row r="178" spans="1:7" ht="18.75" x14ac:dyDescent="0.25">
      <c r="A178" s="8"/>
    </row>
    <row r="179" spans="1:7" ht="31.9" customHeight="1" x14ac:dyDescent="0.25">
      <c r="A179" s="274" t="s">
        <v>208</v>
      </c>
      <c r="B179" s="274"/>
      <c r="C179" s="274"/>
      <c r="D179" s="274"/>
      <c r="E179" s="274"/>
      <c r="F179" s="274"/>
      <c r="G179" s="274"/>
    </row>
    <row r="180" spans="1:7" ht="15.75" x14ac:dyDescent="0.25">
      <c r="A180" s="18"/>
    </row>
    <row r="181" spans="1:7" ht="18.75" x14ac:dyDescent="0.3">
      <c r="A181" s="9" t="s">
        <v>147</v>
      </c>
      <c r="B181" s="10">
        <v>321</v>
      </c>
    </row>
    <row r="182" spans="1:7" x14ac:dyDescent="0.25">
      <c r="A182" s="11"/>
    </row>
    <row r="183" spans="1:7" ht="72.599999999999994" customHeight="1" x14ac:dyDescent="0.25">
      <c r="A183" s="106" t="s">
        <v>86</v>
      </c>
      <c r="B183" s="275" t="s">
        <v>106</v>
      </c>
      <c r="C183" s="275"/>
      <c r="D183" s="275" t="s">
        <v>107</v>
      </c>
      <c r="E183" s="275"/>
      <c r="F183" s="275" t="s">
        <v>108</v>
      </c>
      <c r="G183" s="275"/>
    </row>
    <row r="184" spans="1:7" ht="18.75" x14ac:dyDescent="0.25">
      <c r="A184" s="106">
        <v>1</v>
      </c>
      <c r="B184" s="257">
        <v>2</v>
      </c>
      <c r="C184" s="258"/>
      <c r="D184" s="257">
        <v>3</v>
      </c>
      <c r="E184" s="258"/>
      <c r="F184" s="257">
        <v>4</v>
      </c>
      <c r="G184" s="258"/>
    </row>
    <row r="185" spans="1:7" ht="131.25" x14ac:dyDescent="0.25">
      <c r="A185" s="13" t="s">
        <v>27</v>
      </c>
      <c r="B185" s="275"/>
      <c r="C185" s="275"/>
      <c r="D185" s="275"/>
      <c r="E185" s="275"/>
      <c r="F185" s="281">
        <f>'платные на 2022-2023 год'!G64</f>
        <v>0</v>
      </c>
      <c r="G185" s="281"/>
    </row>
    <row r="186" spans="1:7" ht="18.75" x14ac:dyDescent="0.25">
      <c r="A186" s="13" t="s">
        <v>156</v>
      </c>
      <c r="B186" s="275"/>
      <c r="C186" s="275"/>
      <c r="D186" s="275"/>
      <c r="E186" s="275"/>
      <c r="F186" s="281"/>
      <c r="G186" s="281"/>
    </row>
    <row r="187" spans="1:7" ht="18.75" x14ac:dyDescent="0.25">
      <c r="A187" s="8"/>
    </row>
    <row r="188" spans="1:7" ht="34.9" customHeight="1" x14ac:dyDescent="0.25">
      <c r="A188" s="282" t="s">
        <v>226</v>
      </c>
      <c r="B188" s="282"/>
      <c r="C188" s="282"/>
      <c r="D188" s="282"/>
      <c r="E188" s="282"/>
      <c r="F188" s="282"/>
      <c r="G188" s="282"/>
    </row>
    <row r="189" spans="1:7" ht="18.75" x14ac:dyDescent="0.3">
      <c r="A189" s="9" t="s">
        <v>145</v>
      </c>
      <c r="B189" s="10">
        <v>851</v>
      </c>
    </row>
    <row r="190" spans="1:7" x14ac:dyDescent="0.25">
      <c r="A190" s="11"/>
    </row>
    <row r="191" spans="1:7" ht="126.6" customHeight="1" x14ac:dyDescent="0.25">
      <c r="A191" s="106" t="s">
        <v>86</v>
      </c>
      <c r="B191" s="275" t="s">
        <v>109</v>
      </c>
      <c r="C191" s="275"/>
      <c r="D191" s="275" t="s">
        <v>110</v>
      </c>
      <c r="E191" s="275"/>
      <c r="F191" s="275" t="s">
        <v>111</v>
      </c>
      <c r="G191" s="275"/>
    </row>
    <row r="192" spans="1:7" ht="18.75" x14ac:dyDescent="0.25">
      <c r="A192" s="106">
        <v>1</v>
      </c>
      <c r="B192" s="257">
        <v>2</v>
      </c>
      <c r="C192" s="258"/>
      <c r="D192" s="287">
        <v>3</v>
      </c>
      <c r="E192" s="288"/>
      <c r="F192" s="287">
        <v>4</v>
      </c>
      <c r="G192" s="288"/>
    </row>
    <row r="193" spans="1:7" ht="37.5" x14ac:dyDescent="0.25">
      <c r="A193" s="13" t="s">
        <v>112</v>
      </c>
      <c r="B193" s="287"/>
      <c r="C193" s="288"/>
      <c r="D193" s="287"/>
      <c r="E193" s="288"/>
      <c r="F193" s="342">
        <f>'платные на 2022-2023 год'!G74</f>
        <v>0</v>
      </c>
      <c r="G193" s="343"/>
    </row>
    <row r="194" spans="1:7" ht="37.5" x14ac:dyDescent="0.25">
      <c r="A194" s="13" t="s">
        <v>113</v>
      </c>
      <c r="B194" s="287"/>
      <c r="C194" s="288"/>
      <c r="D194" s="287"/>
      <c r="E194" s="288"/>
      <c r="F194" s="344"/>
      <c r="G194" s="345"/>
    </row>
    <row r="195" spans="1:7" ht="18.75" x14ac:dyDescent="0.25">
      <c r="A195" s="15"/>
      <c r="B195" s="16"/>
      <c r="C195" s="19"/>
      <c r="D195" s="20"/>
      <c r="E195" s="21"/>
      <c r="F195" s="21"/>
      <c r="G195" s="21"/>
    </row>
    <row r="196" spans="1:7" ht="18.75" x14ac:dyDescent="0.25">
      <c r="A196" s="9" t="s">
        <v>114</v>
      </c>
    </row>
    <row r="197" spans="1:7" x14ac:dyDescent="0.25">
      <c r="A197" s="11"/>
    </row>
    <row r="198" spans="1:7" ht="36.6" customHeight="1" x14ac:dyDescent="0.25">
      <c r="A198" s="106" t="s">
        <v>86</v>
      </c>
      <c r="B198" s="275" t="s">
        <v>109</v>
      </c>
      <c r="C198" s="275"/>
      <c r="D198" s="275" t="s">
        <v>110</v>
      </c>
      <c r="E198" s="275"/>
      <c r="F198" s="275" t="s">
        <v>115</v>
      </c>
      <c r="G198" s="275"/>
    </row>
    <row r="199" spans="1:7" ht="18.75" x14ac:dyDescent="0.3">
      <c r="A199" s="106">
        <v>1</v>
      </c>
      <c r="B199" s="257">
        <v>2</v>
      </c>
      <c r="C199" s="258"/>
      <c r="D199" s="257">
        <v>3</v>
      </c>
      <c r="E199" s="258"/>
      <c r="F199" s="248">
        <v>4</v>
      </c>
      <c r="G199" s="249"/>
    </row>
    <row r="200" spans="1:7" ht="39" customHeight="1" x14ac:dyDescent="0.25">
      <c r="A200" s="13" t="s">
        <v>116</v>
      </c>
      <c r="B200" s="257" t="s">
        <v>117</v>
      </c>
      <c r="C200" s="258"/>
      <c r="D200" s="257" t="s">
        <v>117</v>
      </c>
      <c r="E200" s="258"/>
      <c r="F200" s="299">
        <f>'платные на 2022-2023 год'!G75</f>
        <v>0</v>
      </c>
      <c r="G200" s="301"/>
    </row>
    <row r="201" spans="1:7" ht="18.75" x14ac:dyDescent="0.25">
      <c r="A201" s="13" t="s">
        <v>118</v>
      </c>
      <c r="B201" s="287"/>
      <c r="C201" s="288"/>
      <c r="D201" s="287"/>
      <c r="E201" s="288"/>
      <c r="F201" s="287"/>
      <c r="G201" s="288"/>
    </row>
    <row r="202" spans="1:7" ht="18.75" x14ac:dyDescent="0.25">
      <c r="A202" s="9"/>
    </row>
    <row r="203" spans="1:7" ht="18.75" x14ac:dyDescent="0.25">
      <c r="A203" s="9" t="s">
        <v>119</v>
      </c>
    </row>
    <row r="204" spans="1:7" x14ac:dyDescent="0.25">
      <c r="A204" s="11"/>
    </row>
    <row r="205" spans="1:7" ht="72.599999999999994" customHeight="1" x14ac:dyDescent="0.25">
      <c r="A205" s="106" t="s">
        <v>86</v>
      </c>
      <c r="B205" s="275" t="s">
        <v>109</v>
      </c>
      <c r="C205" s="275"/>
      <c r="D205" s="275" t="s">
        <v>110</v>
      </c>
      <c r="E205" s="275"/>
      <c r="F205" s="275" t="s">
        <v>115</v>
      </c>
      <c r="G205" s="275"/>
    </row>
    <row r="206" spans="1:7" ht="18.75" x14ac:dyDescent="0.3">
      <c r="A206" s="106">
        <v>1</v>
      </c>
      <c r="B206" s="257">
        <v>2</v>
      </c>
      <c r="C206" s="258"/>
      <c r="D206" s="257">
        <v>3</v>
      </c>
      <c r="E206" s="258"/>
      <c r="F206" s="248">
        <v>4</v>
      </c>
      <c r="G206" s="249"/>
    </row>
    <row r="207" spans="1:7" ht="49.15" customHeight="1" x14ac:dyDescent="0.25">
      <c r="A207" s="13" t="s">
        <v>155</v>
      </c>
      <c r="B207" s="257" t="s">
        <v>117</v>
      </c>
      <c r="C207" s="258"/>
      <c r="D207" s="257" t="s">
        <v>117</v>
      </c>
      <c r="E207" s="258"/>
      <c r="F207" s="299">
        <f>'платные на 2022-2023 год'!G76</f>
        <v>0</v>
      </c>
      <c r="G207" s="300"/>
    </row>
    <row r="208" spans="1:7" ht="15" customHeight="1" x14ac:dyDescent="0.25">
      <c r="A208" s="13" t="s">
        <v>118</v>
      </c>
      <c r="B208" s="287"/>
      <c r="C208" s="288"/>
      <c r="D208" s="287"/>
      <c r="E208" s="288"/>
      <c r="F208" s="336"/>
      <c r="G208" s="337"/>
    </row>
    <row r="209" spans="1:7" ht="18.75" x14ac:dyDescent="0.25">
      <c r="A209" s="8"/>
    </row>
    <row r="210" spans="1:7" ht="45" customHeight="1" x14ac:dyDescent="0.25">
      <c r="A210" s="282" t="s">
        <v>209</v>
      </c>
      <c r="B210" s="282"/>
      <c r="C210" s="282"/>
      <c r="D210" s="282"/>
      <c r="E210" s="282"/>
      <c r="F210" s="282"/>
      <c r="G210" s="282"/>
    </row>
    <row r="211" spans="1:7" ht="15.75" x14ac:dyDescent="0.25">
      <c r="A211" s="18"/>
    </row>
    <row r="212" spans="1:7" ht="18.75" x14ac:dyDescent="0.3">
      <c r="A212" s="9" t="s">
        <v>145</v>
      </c>
      <c r="B212" s="52" t="s">
        <v>210</v>
      </c>
      <c r="C212" s="51"/>
    </row>
    <row r="213" spans="1:7" x14ac:dyDescent="0.25">
      <c r="A213" s="11"/>
    </row>
    <row r="214" spans="1:7" ht="67.900000000000006" customHeight="1" x14ac:dyDescent="0.25">
      <c r="A214" s="106" t="s">
        <v>86</v>
      </c>
      <c r="B214" s="275" t="s">
        <v>106</v>
      </c>
      <c r="C214" s="275"/>
      <c r="D214" s="275" t="s">
        <v>107</v>
      </c>
      <c r="E214" s="275"/>
      <c r="F214" s="275" t="s">
        <v>108</v>
      </c>
      <c r="G214" s="275"/>
    </row>
    <row r="215" spans="1:7" ht="18.75" x14ac:dyDescent="0.25">
      <c r="A215" s="106">
        <v>1</v>
      </c>
      <c r="B215" s="275">
        <v>2</v>
      </c>
      <c r="C215" s="275"/>
      <c r="D215" s="275">
        <v>3</v>
      </c>
      <c r="E215" s="275"/>
      <c r="F215" s="275">
        <v>4</v>
      </c>
      <c r="G215" s="275"/>
    </row>
    <row r="216" spans="1:7" ht="18.75" x14ac:dyDescent="0.25">
      <c r="A216" s="13"/>
      <c r="B216" s="313"/>
      <c r="C216" s="313"/>
      <c r="D216" s="313"/>
      <c r="E216" s="313"/>
      <c r="F216" s="314">
        <f>'платные на 2022-2023 год'!G82</f>
        <v>0</v>
      </c>
      <c r="G216" s="314"/>
    </row>
    <row r="217" spans="1:7" ht="18.75" x14ac:dyDescent="0.25">
      <c r="A217" s="13"/>
      <c r="B217" s="313"/>
      <c r="C217" s="313"/>
      <c r="D217" s="313"/>
      <c r="E217" s="313"/>
      <c r="F217" s="314"/>
      <c r="G217" s="314"/>
    </row>
    <row r="218" spans="1:7" ht="18" customHeight="1" x14ac:dyDescent="0.25">
      <c r="A218" s="8"/>
    </row>
    <row r="219" spans="1:7" ht="18" customHeight="1" x14ac:dyDescent="0.3">
      <c r="A219" s="9" t="s">
        <v>145</v>
      </c>
      <c r="B219" s="52" t="s">
        <v>211</v>
      </c>
      <c r="C219" s="51"/>
    </row>
    <row r="220" spans="1:7" ht="18" customHeight="1" x14ac:dyDescent="0.25">
      <c r="A220" s="11"/>
    </row>
    <row r="221" spans="1:7" ht="44.45" customHeight="1" x14ac:dyDescent="0.25">
      <c r="A221" s="106" t="s">
        <v>86</v>
      </c>
      <c r="B221" s="275" t="s">
        <v>106</v>
      </c>
      <c r="C221" s="275"/>
      <c r="D221" s="275" t="s">
        <v>107</v>
      </c>
      <c r="E221" s="275"/>
      <c r="F221" s="275" t="s">
        <v>108</v>
      </c>
      <c r="G221" s="275"/>
    </row>
    <row r="222" spans="1:7" ht="18" customHeight="1" x14ac:dyDescent="0.25">
      <c r="A222" s="106">
        <v>1</v>
      </c>
      <c r="B222" s="275">
        <v>2</v>
      </c>
      <c r="C222" s="275"/>
      <c r="D222" s="275">
        <v>3</v>
      </c>
      <c r="E222" s="275"/>
      <c r="F222" s="275">
        <v>4</v>
      </c>
      <c r="G222" s="275"/>
    </row>
    <row r="223" spans="1:7" ht="18" customHeight="1" x14ac:dyDescent="0.25">
      <c r="A223" s="13"/>
      <c r="B223" s="313"/>
      <c r="C223" s="313"/>
      <c r="D223" s="313"/>
      <c r="E223" s="313"/>
      <c r="F223" s="314">
        <f>'платные на 2022-2023 год'!G83</f>
        <v>0</v>
      </c>
      <c r="G223" s="314"/>
    </row>
    <row r="224" spans="1:7" ht="18" customHeight="1" x14ac:dyDescent="0.25">
      <c r="A224" s="13"/>
      <c r="B224" s="313"/>
      <c r="C224" s="313"/>
      <c r="D224" s="313"/>
      <c r="E224" s="313"/>
      <c r="F224" s="314"/>
      <c r="G224" s="314"/>
    </row>
    <row r="225" spans="1:7" ht="18" customHeight="1" x14ac:dyDescent="0.25">
      <c r="A225" s="8"/>
    </row>
    <row r="226" spans="1:7" ht="18" customHeight="1" x14ac:dyDescent="0.3">
      <c r="A226" s="9" t="s">
        <v>145</v>
      </c>
      <c r="B226" s="52" t="s">
        <v>212</v>
      </c>
      <c r="C226" s="51"/>
    </row>
    <row r="227" spans="1:7" ht="18" customHeight="1" x14ac:dyDescent="0.25">
      <c r="A227" s="11"/>
    </row>
    <row r="228" spans="1:7" ht="37.15" customHeight="1" x14ac:dyDescent="0.25">
      <c r="A228" s="106" t="s">
        <v>86</v>
      </c>
      <c r="B228" s="275" t="s">
        <v>106</v>
      </c>
      <c r="C228" s="275"/>
      <c r="D228" s="275" t="s">
        <v>107</v>
      </c>
      <c r="E228" s="275"/>
      <c r="F228" s="275" t="s">
        <v>108</v>
      </c>
      <c r="G228" s="275"/>
    </row>
    <row r="229" spans="1:7" ht="18" customHeight="1" x14ac:dyDescent="0.25">
      <c r="A229" s="106">
        <v>1</v>
      </c>
      <c r="B229" s="275">
        <v>2</v>
      </c>
      <c r="C229" s="275"/>
      <c r="D229" s="275">
        <v>3</v>
      </c>
      <c r="E229" s="275"/>
      <c r="F229" s="275">
        <v>4</v>
      </c>
      <c r="G229" s="275"/>
    </row>
    <row r="230" spans="1:7" ht="18" customHeight="1" x14ac:dyDescent="0.25">
      <c r="A230" s="13"/>
      <c r="B230" s="313"/>
      <c r="C230" s="313"/>
      <c r="D230" s="313"/>
      <c r="E230" s="313"/>
      <c r="F230" s="314">
        <f>'платные на 2022-2023 год'!G84</f>
        <v>0</v>
      </c>
      <c r="G230" s="314"/>
    </row>
    <row r="231" spans="1:7" ht="18" customHeight="1" x14ac:dyDescent="0.25">
      <c r="A231" s="13"/>
      <c r="B231" s="313"/>
      <c r="C231" s="313"/>
      <c r="D231" s="313"/>
      <c r="E231" s="313"/>
      <c r="F231" s="314"/>
      <c r="G231" s="314"/>
    </row>
    <row r="232" spans="1:7" ht="18" customHeight="1" x14ac:dyDescent="0.25">
      <c r="A232" s="15"/>
      <c r="B232" s="16"/>
      <c r="C232" s="16"/>
      <c r="D232" s="16"/>
      <c r="E232" s="16"/>
      <c r="F232" s="16"/>
      <c r="G232" s="16"/>
    </row>
    <row r="233" spans="1:7" ht="43.15" customHeight="1" x14ac:dyDescent="0.25">
      <c r="A233" s="282" t="s">
        <v>213</v>
      </c>
      <c r="B233" s="282"/>
      <c r="C233" s="282"/>
      <c r="D233" s="282"/>
      <c r="E233" s="282"/>
      <c r="F233" s="282"/>
      <c r="G233" s="282"/>
    </row>
    <row r="234" spans="1:7" ht="18" customHeight="1" x14ac:dyDescent="0.3">
      <c r="A234" s="9" t="s">
        <v>145</v>
      </c>
      <c r="B234" s="10">
        <v>853</v>
      </c>
    </row>
    <row r="235" spans="1:7" ht="18" customHeight="1" x14ac:dyDescent="0.25">
      <c r="A235" s="11"/>
    </row>
    <row r="236" spans="1:7" ht="54.6" customHeight="1" x14ac:dyDescent="0.25">
      <c r="A236" s="106" t="s">
        <v>86</v>
      </c>
      <c r="B236" s="275" t="s">
        <v>109</v>
      </c>
      <c r="C236" s="275"/>
      <c r="D236" s="275" t="s">
        <v>110</v>
      </c>
      <c r="E236" s="275"/>
      <c r="F236" s="275" t="s">
        <v>111</v>
      </c>
      <c r="G236" s="275"/>
    </row>
    <row r="237" spans="1:7" ht="18" customHeight="1" x14ac:dyDescent="0.25">
      <c r="A237" s="106">
        <v>1</v>
      </c>
      <c r="B237" s="275">
        <v>2</v>
      </c>
      <c r="C237" s="275"/>
      <c r="D237" s="275">
        <v>3</v>
      </c>
      <c r="E237" s="275"/>
      <c r="F237" s="275">
        <v>4</v>
      </c>
      <c r="G237" s="275"/>
    </row>
    <row r="238" spans="1:7" ht="18" customHeight="1" x14ac:dyDescent="0.25">
      <c r="A238" s="106"/>
      <c r="B238" s="257"/>
      <c r="C238" s="258"/>
      <c r="D238" s="257"/>
      <c r="E238" s="258"/>
      <c r="F238" s="257"/>
      <c r="G238" s="258"/>
    </row>
    <row r="239" spans="1:7" ht="18" customHeight="1" x14ac:dyDescent="0.25">
      <c r="A239" s="106" t="s">
        <v>245</v>
      </c>
      <c r="B239" s="257"/>
      <c r="C239" s="258"/>
      <c r="D239" s="257"/>
      <c r="E239" s="258"/>
      <c r="F239" s="255">
        <f>'платные на 2022-2023 год'!G77</f>
        <v>0</v>
      </c>
      <c r="G239" s="258"/>
    </row>
    <row r="240" spans="1:7" ht="18" customHeight="1" x14ac:dyDescent="0.25">
      <c r="A240" s="106"/>
      <c r="B240" s="257"/>
      <c r="C240" s="258"/>
      <c r="D240" s="257"/>
      <c r="E240" s="258"/>
      <c r="F240" s="257"/>
      <c r="G240" s="258"/>
    </row>
    <row r="241" spans="1:7" ht="18" customHeight="1" x14ac:dyDescent="0.25">
      <c r="A241" s="106" t="s">
        <v>246</v>
      </c>
      <c r="B241" s="257"/>
      <c r="C241" s="258"/>
      <c r="D241" s="257"/>
      <c r="E241" s="258"/>
      <c r="F241" s="255">
        <f>'платные на 2022-2023 год'!G78</f>
        <v>0</v>
      </c>
      <c r="G241" s="258"/>
    </row>
    <row r="242" spans="1:7" ht="18" customHeight="1" x14ac:dyDescent="0.25">
      <c r="A242" s="106"/>
      <c r="B242" s="257"/>
      <c r="C242" s="258"/>
      <c r="D242" s="257"/>
      <c r="E242" s="258"/>
      <c r="F242" s="257"/>
      <c r="G242" s="258"/>
    </row>
    <row r="243" spans="1:7" ht="18" customHeight="1" x14ac:dyDescent="0.25">
      <c r="A243" s="106" t="s">
        <v>247</v>
      </c>
      <c r="B243" s="257"/>
      <c r="C243" s="258"/>
      <c r="D243" s="257"/>
      <c r="E243" s="258"/>
      <c r="F243" s="255">
        <f>'платные на 2022-2023 год'!G79</f>
        <v>0</v>
      </c>
      <c r="G243" s="258"/>
    </row>
    <row r="244" spans="1:7" ht="18" customHeight="1" x14ac:dyDescent="0.25">
      <c r="A244" s="106"/>
      <c r="B244" s="257"/>
      <c r="C244" s="258"/>
      <c r="D244" s="257"/>
      <c r="E244" s="258"/>
      <c r="F244" s="257"/>
      <c r="G244" s="258"/>
    </row>
    <row r="245" spans="1:7" ht="18" customHeight="1" x14ac:dyDescent="0.25">
      <c r="A245" s="106" t="s">
        <v>248</v>
      </c>
      <c r="B245" s="257"/>
      <c r="C245" s="258"/>
      <c r="D245" s="257"/>
      <c r="E245" s="258"/>
      <c r="F245" s="255">
        <f>'платные на 2022-2023 год'!G86</f>
        <v>0</v>
      </c>
      <c r="G245" s="258"/>
    </row>
    <row r="246" spans="1:7" ht="18" customHeight="1" x14ac:dyDescent="0.25">
      <c r="A246" s="106"/>
      <c r="B246" s="257"/>
      <c r="C246" s="258"/>
      <c r="D246" s="257"/>
      <c r="E246" s="258"/>
      <c r="F246" s="257"/>
      <c r="G246" s="258"/>
    </row>
    <row r="247" spans="1:7" ht="18" customHeight="1" x14ac:dyDescent="0.25">
      <c r="A247" s="106" t="s">
        <v>249</v>
      </c>
      <c r="B247" s="257"/>
      <c r="C247" s="258"/>
      <c r="D247" s="257"/>
      <c r="E247" s="258"/>
      <c r="F247" s="255">
        <f>'платные на 2022-2023 год'!G91</f>
        <v>0</v>
      </c>
      <c r="G247" s="258"/>
    </row>
    <row r="248" spans="1:7" ht="18" customHeight="1" x14ac:dyDescent="0.25">
      <c r="A248" s="13"/>
      <c r="B248" s="313"/>
      <c r="C248" s="313"/>
      <c r="D248" s="313"/>
      <c r="E248" s="313"/>
      <c r="F248" s="314"/>
      <c r="G248" s="314"/>
    </row>
    <row r="249" spans="1:7" ht="18" customHeight="1" x14ac:dyDescent="0.25">
      <c r="A249" s="15"/>
      <c r="B249" s="16"/>
      <c r="C249" s="16"/>
      <c r="D249" s="16"/>
      <c r="E249" s="16"/>
      <c r="F249" s="16"/>
      <c r="G249" s="16"/>
    </row>
    <row r="250" spans="1:7" ht="28.9" customHeight="1" x14ac:dyDescent="0.25">
      <c r="A250" s="282" t="s">
        <v>214</v>
      </c>
      <c r="B250" s="282"/>
      <c r="C250" s="282"/>
      <c r="D250" s="282"/>
      <c r="E250" s="282"/>
      <c r="F250" s="282"/>
      <c r="G250" s="282"/>
    </row>
    <row r="251" spans="1:7" ht="41.45" customHeight="1" x14ac:dyDescent="0.25">
      <c r="A251" s="276" t="s">
        <v>215</v>
      </c>
      <c r="B251" s="276"/>
      <c r="C251" s="276"/>
      <c r="D251" s="276"/>
      <c r="E251" s="276"/>
      <c r="F251" s="276"/>
      <c r="G251" s="276"/>
    </row>
    <row r="252" spans="1:7" ht="18.75" x14ac:dyDescent="0.25">
      <c r="A252" s="113"/>
      <c r="B252" s="113"/>
      <c r="C252" s="113"/>
      <c r="D252" s="113"/>
      <c r="E252" s="113"/>
      <c r="F252" s="113"/>
      <c r="G252" s="113"/>
    </row>
    <row r="253" spans="1:7" ht="18.75" x14ac:dyDescent="0.25">
      <c r="A253" s="9" t="s">
        <v>145</v>
      </c>
      <c r="B253" s="19">
        <v>244</v>
      </c>
      <c r="C253" s="113"/>
      <c r="D253" s="113"/>
      <c r="E253" s="113"/>
      <c r="F253" s="113"/>
      <c r="G253" s="113"/>
    </row>
    <row r="254" spans="1:7" ht="18.75" x14ac:dyDescent="0.25">
      <c r="A254" s="22"/>
      <c r="B254" s="22"/>
      <c r="C254" s="22"/>
      <c r="D254" s="22"/>
      <c r="E254" s="22"/>
      <c r="F254" s="22"/>
      <c r="G254" s="22"/>
    </row>
    <row r="255" spans="1:7" ht="51.6" customHeight="1" x14ac:dyDescent="0.25">
      <c r="A255" s="106" t="s">
        <v>86</v>
      </c>
      <c r="B255" s="275" t="s">
        <v>160</v>
      </c>
      <c r="C255" s="275"/>
      <c r="D255" s="275" t="s">
        <v>122</v>
      </c>
      <c r="E255" s="275"/>
      <c r="F255" s="275" t="s">
        <v>161</v>
      </c>
      <c r="G255" s="275"/>
    </row>
    <row r="256" spans="1:7" ht="28.9" customHeight="1" x14ac:dyDescent="0.25">
      <c r="A256" s="106">
        <v>1</v>
      </c>
      <c r="B256" s="257">
        <v>2</v>
      </c>
      <c r="C256" s="258"/>
      <c r="D256" s="257">
        <v>3</v>
      </c>
      <c r="E256" s="258"/>
      <c r="F256" s="287">
        <v>4</v>
      </c>
      <c r="G256" s="288"/>
    </row>
    <row r="257" spans="1:7" ht="28.9" customHeight="1" x14ac:dyDescent="0.25">
      <c r="A257" s="13" t="s">
        <v>159</v>
      </c>
      <c r="B257" s="287"/>
      <c r="C257" s="288"/>
      <c r="D257" s="287"/>
      <c r="E257" s="288"/>
      <c r="F257" s="336">
        <f>'платные на 2022-2023 год'!G36</f>
        <v>0</v>
      </c>
      <c r="G257" s="337"/>
    </row>
    <row r="258" spans="1:7" ht="28.9" customHeight="1" x14ac:dyDescent="0.25">
      <c r="A258" s="13" t="s">
        <v>120</v>
      </c>
      <c r="B258" s="287"/>
      <c r="C258" s="288"/>
      <c r="D258" s="287"/>
      <c r="E258" s="288"/>
      <c r="F258" s="336"/>
      <c r="G258" s="337"/>
    </row>
    <row r="259" spans="1:7" ht="18.75" x14ac:dyDescent="0.25">
      <c r="A259" s="110"/>
      <c r="B259" s="110"/>
      <c r="C259" s="110"/>
      <c r="D259" s="110"/>
      <c r="E259" s="110"/>
      <c r="F259" s="110"/>
      <c r="G259" s="110"/>
    </row>
    <row r="260" spans="1:7" ht="24.6" customHeight="1" x14ac:dyDescent="0.25">
      <c r="A260" s="274" t="s">
        <v>216</v>
      </c>
      <c r="B260" s="274"/>
      <c r="C260" s="274"/>
      <c r="D260" s="274"/>
      <c r="E260" s="274"/>
      <c r="F260" s="274"/>
      <c r="G260" s="274"/>
    </row>
    <row r="261" spans="1:7" ht="18.75" x14ac:dyDescent="0.25">
      <c r="A261" s="9"/>
    </row>
    <row r="262" spans="1:7" ht="18.75" x14ac:dyDescent="0.3">
      <c r="A262" s="9" t="s">
        <v>145</v>
      </c>
      <c r="B262" s="10">
        <v>244</v>
      </c>
    </row>
    <row r="263" spans="1:7" ht="18.75" x14ac:dyDescent="0.25">
      <c r="A263" s="8"/>
    </row>
    <row r="264" spans="1:7" ht="72.599999999999994" customHeight="1" x14ac:dyDescent="0.25">
      <c r="A264" s="106" t="s">
        <v>86</v>
      </c>
      <c r="B264" s="275" t="s">
        <v>121</v>
      </c>
      <c r="C264" s="275"/>
      <c r="D264" s="275" t="s">
        <v>122</v>
      </c>
      <c r="E264" s="275"/>
      <c r="F264" s="275" t="s">
        <v>186</v>
      </c>
      <c r="G264" s="275"/>
    </row>
    <row r="265" spans="1:7" ht="18.75" x14ac:dyDescent="0.25">
      <c r="A265" s="106">
        <v>1</v>
      </c>
      <c r="B265" s="257">
        <v>2</v>
      </c>
      <c r="C265" s="258"/>
      <c r="D265" s="257">
        <v>3</v>
      </c>
      <c r="E265" s="258"/>
      <c r="F265" s="287">
        <v>4</v>
      </c>
      <c r="G265" s="288"/>
    </row>
    <row r="266" spans="1:7" ht="37.5" x14ac:dyDescent="0.25">
      <c r="A266" s="13" t="s">
        <v>123</v>
      </c>
      <c r="B266" s="287"/>
      <c r="C266" s="288"/>
      <c r="D266" s="287"/>
      <c r="E266" s="288"/>
      <c r="F266" s="336">
        <f>'платные на 2022-2023 год'!G39</f>
        <v>0</v>
      </c>
      <c r="G266" s="337"/>
    </row>
    <row r="267" spans="1:7" ht="18.75" x14ac:dyDescent="0.25">
      <c r="A267" s="13" t="s">
        <v>124</v>
      </c>
      <c r="B267" s="287"/>
      <c r="C267" s="288"/>
      <c r="D267" s="287"/>
      <c r="E267" s="288"/>
      <c r="F267" s="336"/>
      <c r="G267" s="337"/>
    </row>
    <row r="268" spans="1:7" ht="18.75" x14ac:dyDescent="0.25">
      <c r="A268" s="13" t="s">
        <v>120</v>
      </c>
      <c r="B268" s="287"/>
      <c r="C268" s="288"/>
      <c r="D268" s="287"/>
      <c r="E268" s="288"/>
      <c r="F268" s="336"/>
      <c r="G268" s="337"/>
    </row>
    <row r="269" spans="1:7" x14ac:dyDescent="0.25">
      <c r="A269" s="23"/>
    </row>
    <row r="270" spans="1:7" ht="18.75" x14ac:dyDescent="0.25">
      <c r="A270" s="274" t="s">
        <v>217</v>
      </c>
      <c r="B270" s="274"/>
      <c r="C270" s="274"/>
      <c r="D270" s="274"/>
      <c r="E270" s="274"/>
      <c r="F270" s="274"/>
      <c r="G270" s="274"/>
    </row>
    <row r="271" spans="1:7" ht="18.75" x14ac:dyDescent="0.25">
      <c r="A271" s="9"/>
    </row>
    <row r="272" spans="1:7" ht="18.75" x14ac:dyDescent="0.3">
      <c r="A272" s="9" t="s">
        <v>145</v>
      </c>
      <c r="B272" s="10">
        <v>244</v>
      </c>
    </row>
    <row r="273" spans="1:7" ht="18.75" x14ac:dyDescent="0.25">
      <c r="A273" s="8"/>
    </row>
    <row r="274" spans="1:7" ht="54.6" customHeight="1" x14ac:dyDescent="0.25">
      <c r="A274" s="106" t="s">
        <v>86</v>
      </c>
      <c r="B274" s="275" t="s">
        <v>125</v>
      </c>
      <c r="C274" s="275"/>
      <c r="D274" s="275" t="s">
        <v>93</v>
      </c>
      <c r="E274" s="275"/>
      <c r="F274" s="275" t="s">
        <v>186</v>
      </c>
      <c r="G274" s="275"/>
    </row>
    <row r="275" spans="1:7" ht="18.75" x14ac:dyDescent="0.25">
      <c r="A275" s="106">
        <v>1</v>
      </c>
      <c r="B275" s="257">
        <v>2</v>
      </c>
      <c r="C275" s="258"/>
      <c r="D275" s="257">
        <v>3</v>
      </c>
      <c r="E275" s="258"/>
      <c r="F275" s="257">
        <v>4</v>
      </c>
      <c r="G275" s="258"/>
    </row>
    <row r="276" spans="1:7" ht="18.75" x14ac:dyDescent="0.25">
      <c r="A276" s="13"/>
      <c r="B276" s="257"/>
      <c r="C276" s="258"/>
      <c r="D276" s="257"/>
      <c r="E276" s="258"/>
      <c r="F276" s="255">
        <f>'платные на 2022-2023 год'!G42</f>
        <v>0</v>
      </c>
      <c r="G276" s="256"/>
    </row>
    <row r="277" spans="1:7" ht="18.75" x14ac:dyDescent="0.25">
      <c r="A277" s="13" t="s">
        <v>120</v>
      </c>
      <c r="B277" s="257"/>
      <c r="C277" s="258"/>
      <c r="D277" s="257"/>
      <c r="E277" s="258"/>
      <c r="F277" s="255"/>
      <c r="G277" s="256"/>
    </row>
    <row r="278" spans="1:7" ht="18.75" x14ac:dyDescent="0.25">
      <c r="A278" s="8"/>
    </row>
    <row r="279" spans="1:7" ht="18.75" x14ac:dyDescent="0.25">
      <c r="A279" s="274" t="s">
        <v>218</v>
      </c>
      <c r="B279" s="274"/>
      <c r="C279" s="274"/>
      <c r="D279" s="274"/>
      <c r="E279" s="274"/>
      <c r="F279" s="274"/>
      <c r="G279" s="274"/>
    </row>
    <row r="280" spans="1:7" ht="18.75" x14ac:dyDescent="0.25">
      <c r="A280" s="9"/>
    </row>
    <row r="281" spans="1:7" ht="18.75" x14ac:dyDescent="0.3">
      <c r="A281" s="9" t="s">
        <v>145</v>
      </c>
      <c r="B281" s="10">
        <v>244</v>
      </c>
    </row>
    <row r="282" spans="1:7" ht="18.75" x14ac:dyDescent="0.25">
      <c r="A282" s="8"/>
    </row>
    <row r="283" spans="1:7" ht="54.6" customHeight="1" x14ac:dyDescent="0.25">
      <c r="A283" s="106" t="s">
        <v>86</v>
      </c>
      <c r="B283" s="275" t="s">
        <v>126</v>
      </c>
      <c r="C283" s="275"/>
      <c r="D283" s="275" t="s">
        <v>127</v>
      </c>
      <c r="E283" s="275"/>
      <c r="F283" s="275" t="s">
        <v>94</v>
      </c>
      <c r="G283" s="275"/>
    </row>
    <row r="284" spans="1:7" ht="18.75" x14ac:dyDescent="0.25">
      <c r="A284" s="106">
        <v>1</v>
      </c>
      <c r="B284" s="257">
        <v>2</v>
      </c>
      <c r="C284" s="258"/>
      <c r="D284" s="257">
        <v>3</v>
      </c>
      <c r="E284" s="258"/>
      <c r="F284" s="257">
        <v>4</v>
      </c>
      <c r="G284" s="258"/>
    </row>
    <row r="285" spans="1:7" ht="75" x14ac:dyDescent="0.25">
      <c r="A285" s="13" t="s">
        <v>18</v>
      </c>
      <c r="B285" s="257"/>
      <c r="C285" s="258"/>
      <c r="D285" s="257"/>
      <c r="E285" s="258"/>
      <c r="F285" s="255">
        <f>'платные на 2022-2023 год'!G45</f>
        <v>0</v>
      </c>
      <c r="G285" s="256"/>
    </row>
    <row r="286" spans="1:7" ht="37.5" x14ac:dyDescent="0.25">
      <c r="A286" s="13" t="s">
        <v>19</v>
      </c>
      <c r="B286" s="257"/>
      <c r="C286" s="258"/>
      <c r="D286" s="257"/>
      <c r="E286" s="258"/>
      <c r="F286" s="255">
        <f>'платные на 2022-2023 год'!G46</f>
        <v>0</v>
      </c>
      <c r="G286" s="256"/>
    </row>
    <row r="287" spans="1:7" ht="75" x14ac:dyDescent="0.25">
      <c r="A287" s="13" t="s">
        <v>20</v>
      </c>
      <c r="B287" s="257"/>
      <c r="C287" s="258"/>
      <c r="D287" s="257"/>
      <c r="E287" s="258"/>
      <c r="F287" s="255">
        <f>'платные на 2022-2023 год'!G47</f>
        <v>0</v>
      </c>
      <c r="G287" s="256"/>
    </row>
    <row r="288" spans="1:7" ht="75" x14ac:dyDescent="0.25">
      <c r="A288" s="13" t="s">
        <v>21</v>
      </c>
      <c r="B288" s="257"/>
      <c r="C288" s="258"/>
      <c r="D288" s="257"/>
      <c r="E288" s="258"/>
      <c r="F288" s="255">
        <f>'платные на 2022-2023 год'!G48</f>
        <v>0</v>
      </c>
      <c r="G288" s="256"/>
    </row>
    <row r="289" spans="1:7" ht="56.25" x14ac:dyDescent="0.25">
      <c r="A289" s="24" t="s">
        <v>22</v>
      </c>
      <c r="B289" s="257"/>
      <c r="C289" s="258"/>
      <c r="D289" s="257"/>
      <c r="E289" s="258"/>
      <c r="F289" s="255">
        <f>'платные на 2022-2023 год'!G49</f>
        <v>0</v>
      </c>
      <c r="G289" s="256"/>
    </row>
    <row r="290" spans="1:7" ht="18.75" x14ac:dyDescent="0.25">
      <c r="A290" s="25"/>
      <c r="B290" s="26"/>
      <c r="C290" s="26"/>
      <c r="D290" s="26"/>
      <c r="E290" s="26"/>
      <c r="F290" s="26"/>
      <c r="G290" s="26"/>
    </row>
    <row r="291" spans="1:7" ht="18.75" x14ac:dyDescent="0.25">
      <c r="A291" s="341" t="s">
        <v>219</v>
      </c>
      <c r="B291" s="341"/>
      <c r="C291" s="341"/>
      <c r="D291" s="341"/>
      <c r="E291" s="341"/>
      <c r="F291" s="341"/>
      <c r="G291" s="341"/>
    </row>
    <row r="292" spans="1:7" ht="18.75" x14ac:dyDescent="0.25">
      <c r="A292" s="114"/>
      <c r="B292" s="114"/>
      <c r="C292" s="114"/>
      <c r="D292" s="114"/>
      <c r="E292" s="114"/>
      <c r="F292" s="114"/>
      <c r="G292" s="114"/>
    </row>
    <row r="293" spans="1:7" ht="18.75" x14ac:dyDescent="0.3">
      <c r="A293" s="9" t="s">
        <v>145</v>
      </c>
      <c r="B293" s="10">
        <v>244</v>
      </c>
    </row>
    <row r="294" spans="1:7" ht="18.75" x14ac:dyDescent="0.25">
      <c r="A294" s="8"/>
    </row>
    <row r="295" spans="1:7" ht="49.15" customHeight="1" x14ac:dyDescent="0.25">
      <c r="A295" s="106" t="s">
        <v>86</v>
      </c>
      <c r="B295" s="275" t="s">
        <v>128</v>
      </c>
      <c r="C295" s="275"/>
      <c r="D295" s="275" t="s">
        <v>148</v>
      </c>
      <c r="E295" s="275"/>
      <c r="F295" s="275" t="s">
        <v>129</v>
      </c>
      <c r="G295" s="275"/>
    </row>
    <row r="296" spans="1:7" ht="18.75" x14ac:dyDescent="0.25">
      <c r="A296" s="106">
        <v>1</v>
      </c>
      <c r="B296" s="257">
        <v>2</v>
      </c>
      <c r="C296" s="258"/>
      <c r="D296" s="257">
        <v>3</v>
      </c>
      <c r="E296" s="258"/>
      <c r="F296" s="257">
        <v>4</v>
      </c>
      <c r="G296" s="258"/>
    </row>
    <row r="297" spans="1:7" ht="37.5" x14ac:dyDescent="0.25">
      <c r="A297" s="13" t="s">
        <v>130</v>
      </c>
      <c r="B297" s="257"/>
      <c r="C297" s="258"/>
      <c r="D297" s="257"/>
      <c r="E297" s="258"/>
      <c r="F297" s="255">
        <f>'платные на 2022-2023 год'!G50</f>
        <v>0</v>
      </c>
      <c r="G297" s="256"/>
    </row>
    <row r="298" spans="1:7" ht="18.75" x14ac:dyDescent="0.25">
      <c r="A298" s="13" t="s">
        <v>118</v>
      </c>
      <c r="B298" s="257"/>
      <c r="C298" s="258"/>
      <c r="D298" s="257"/>
      <c r="E298" s="258"/>
      <c r="F298" s="255"/>
      <c r="G298" s="256"/>
    </row>
    <row r="299" spans="1:7" ht="18.75" x14ac:dyDescent="0.25">
      <c r="A299" s="27"/>
      <c r="B299" s="26"/>
      <c r="C299" s="26"/>
      <c r="D299" s="26"/>
      <c r="E299" s="26"/>
      <c r="F299" s="26"/>
      <c r="G299" s="26"/>
    </row>
    <row r="300" spans="1:7" ht="39" customHeight="1" x14ac:dyDescent="0.25">
      <c r="A300" s="276" t="s">
        <v>220</v>
      </c>
      <c r="B300" s="276"/>
      <c r="C300" s="276"/>
      <c r="D300" s="276"/>
      <c r="E300" s="276"/>
      <c r="F300" s="276"/>
      <c r="G300" s="276"/>
    </row>
    <row r="301" spans="1:7" ht="18.75" x14ac:dyDescent="0.25">
      <c r="A301" s="9"/>
    </row>
    <row r="302" spans="1:7" ht="18.75" x14ac:dyDescent="0.3">
      <c r="A302" s="9" t="s">
        <v>145</v>
      </c>
      <c r="B302" s="10">
        <v>243</v>
      </c>
    </row>
    <row r="303" spans="1:7" ht="18.75" x14ac:dyDescent="0.25">
      <c r="A303" s="8"/>
    </row>
    <row r="304" spans="1:7" ht="39.6" customHeight="1" x14ac:dyDescent="0.25">
      <c r="A304" s="275" t="s">
        <v>86</v>
      </c>
      <c r="B304" s="275"/>
      <c r="C304" s="275"/>
      <c r="D304" s="275" t="s">
        <v>131</v>
      </c>
      <c r="E304" s="275"/>
      <c r="F304" s="275" t="s">
        <v>132</v>
      </c>
      <c r="G304" s="275"/>
    </row>
    <row r="305" spans="1:7" ht="18.75" x14ac:dyDescent="0.3">
      <c r="A305" s="275">
        <v>1</v>
      </c>
      <c r="B305" s="275"/>
      <c r="C305" s="275"/>
      <c r="D305" s="248">
        <v>2</v>
      </c>
      <c r="E305" s="249"/>
      <c r="F305" s="248">
        <v>3</v>
      </c>
      <c r="G305" s="249"/>
    </row>
    <row r="306" spans="1:7" ht="43.15" customHeight="1" x14ac:dyDescent="0.25">
      <c r="A306" s="247" t="s">
        <v>163</v>
      </c>
      <c r="B306" s="247"/>
      <c r="C306" s="247"/>
      <c r="D306" s="283"/>
      <c r="E306" s="284"/>
      <c r="F306" s="299">
        <f>'платные на 2022-2023 год'!G52</f>
        <v>0</v>
      </c>
      <c r="G306" s="300"/>
    </row>
    <row r="307" spans="1:7" ht="18.75" x14ac:dyDescent="0.25">
      <c r="A307" s="252" t="s">
        <v>120</v>
      </c>
      <c r="B307" s="253"/>
      <c r="C307" s="254"/>
      <c r="D307" s="283"/>
      <c r="E307" s="284"/>
      <c r="F307" s="338"/>
      <c r="G307" s="340"/>
    </row>
    <row r="308" spans="1:7" ht="18.75" x14ac:dyDescent="0.25">
      <c r="A308" s="28"/>
      <c r="B308" s="28"/>
      <c r="C308" s="28"/>
      <c r="D308" s="17"/>
      <c r="E308" s="17"/>
      <c r="F308" s="17"/>
      <c r="G308" s="17"/>
    </row>
    <row r="309" spans="1:7" ht="18.75" x14ac:dyDescent="0.3">
      <c r="A309" s="9" t="s">
        <v>145</v>
      </c>
      <c r="B309" s="10">
        <v>244</v>
      </c>
    </row>
    <row r="310" spans="1:7" ht="18.75" x14ac:dyDescent="0.25">
      <c r="A310" s="8"/>
    </row>
    <row r="311" spans="1:7" ht="43.9" customHeight="1" x14ac:dyDescent="0.25">
      <c r="A311" s="275" t="s">
        <v>86</v>
      </c>
      <c r="B311" s="275"/>
      <c r="C311" s="275"/>
      <c r="D311" s="275" t="s">
        <v>131</v>
      </c>
      <c r="E311" s="275"/>
      <c r="F311" s="275" t="s">
        <v>132</v>
      </c>
      <c r="G311" s="275"/>
    </row>
    <row r="312" spans="1:7" ht="18.75" x14ac:dyDescent="0.3">
      <c r="A312" s="275">
        <v>1</v>
      </c>
      <c r="B312" s="275"/>
      <c r="C312" s="275"/>
      <c r="D312" s="248">
        <v>2</v>
      </c>
      <c r="E312" s="249"/>
      <c r="F312" s="248">
        <v>3</v>
      </c>
      <c r="G312" s="249"/>
    </row>
    <row r="313" spans="1:7" ht="34.15" customHeight="1" x14ac:dyDescent="0.25">
      <c r="A313" s="247" t="s">
        <v>133</v>
      </c>
      <c r="B313" s="247"/>
      <c r="C313" s="247"/>
      <c r="D313" s="283"/>
      <c r="E313" s="284"/>
      <c r="F313" s="299">
        <f>'платные на 2022-2023 год'!G53</f>
        <v>0</v>
      </c>
      <c r="G313" s="300"/>
    </row>
    <row r="314" spans="1:7" ht="34.15" customHeight="1" x14ac:dyDescent="0.25">
      <c r="A314" s="247" t="s">
        <v>134</v>
      </c>
      <c r="B314" s="247"/>
      <c r="C314" s="247"/>
      <c r="D314" s="283"/>
      <c r="E314" s="284"/>
      <c r="F314" s="338"/>
      <c r="G314" s="340"/>
    </row>
    <row r="315" spans="1:7" ht="34.15" customHeight="1" x14ac:dyDescent="0.25">
      <c r="A315" s="247" t="s">
        <v>135</v>
      </c>
      <c r="B315" s="247"/>
      <c r="C315" s="247"/>
      <c r="D315" s="283"/>
      <c r="E315" s="284"/>
      <c r="F315" s="338"/>
      <c r="G315" s="340"/>
    </row>
    <row r="316" spans="1:7" ht="34.15" customHeight="1" x14ac:dyDescent="0.25">
      <c r="A316" s="247" t="s">
        <v>136</v>
      </c>
      <c r="B316" s="247"/>
      <c r="C316" s="247"/>
      <c r="D316" s="283"/>
      <c r="E316" s="284"/>
      <c r="F316" s="338"/>
      <c r="G316" s="340"/>
    </row>
    <row r="317" spans="1:7" ht="18.75" x14ac:dyDescent="0.25">
      <c r="A317" s="252" t="s">
        <v>120</v>
      </c>
      <c r="B317" s="253"/>
      <c r="C317" s="254"/>
      <c r="D317" s="283"/>
      <c r="E317" s="284"/>
      <c r="F317" s="338"/>
      <c r="G317" s="340"/>
    </row>
    <row r="318" spans="1:7" ht="18.75" x14ac:dyDescent="0.25">
      <c r="A318" s="29"/>
    </row>
    <row r="319" spans="1:7" ht="18.75" x14ac:dyDescent="0.25">
      <c r="A319" s="274" t="s">
        <v>221</v>
      </c>
      <c r="B319" s="274"/>
      <c r="C319" s="274"/>
      <c r="D319" s="274"/>
      <c r="E319" s="274"/>
      <c r="F319" s="274"/>
      <c r="G319" s="274"/>
    </row>
    <row r="320" spans="1:7" ht="18.75" x14ac:dyDescent="0.25">
      <c r="A320" s="9"/>
    </row>
    <row r="321" spans="1:7" ht="18.75" x14ac:dyDescent="0.3">
      <c r="A321" s="9" t="s">
        <v>145</v>
      </c>
      <c r="B321" s="10">
        <v>243</v>
      </c>
    </row>
    <row r="322" spans="1:7" ht="18.75" x14ac:dyDescent="0.25">
      <c r="A322" s="8"/>
    </row>
    <row r="323" spans="1:7" ht="28.9" customHeight="1" x14ac:dyDescent="0.25">
      <c r="A323" s="275" t="s">
        <v>86</v>
      </c>
      <c r="B323" s="275"/>
      <c r="C323" s="275"/>
      <c r="D323" s="275" t="s">
        <v>137</v>
      </c>
      <c r="E323" s="275"/>
      <c r="F323" s="275" t="s">
        <v>138</v>
      </c>
      <c r="G323" s="275"/>
    </row>
    <row r="324" spans="1:7" ht="18.75" x14ac:dyDescent="0.3">
      <c r="A324" s="257">
        <v>1</v>
      </c>
      <c r="B324" s="286"/>
      <c r="C324" s="258"/>
      <c r="D324" s="248">
        <v>2</v>
      </c>
      <c r="E324" s="249"/>
      <c r="F324" s="248">
        <v>3</v>
      </c>
      <c r="G324" s="249"/>
    </row>
    <row r="325" spans="1:7" ht="38.450000000000003" customHeight="1" x14ac:dyDescent="0.25">
      <c r="A325" s="252" t="s">
        <v>162</v>
      </c>
      <c r="B325" s="253"/>
      <c r="C325" s="254"/>
      <c r="D325" s="283"/>
      <c r="E325" s="284"/>
      <c r="F325" s="299">
        <f>'платные на 2022-2023 год'!G58</f>
        <v>0</v>
      </c>
      <c r="G325" s="300"/>
    </row>
    <row r="326" spans="1:7" ht="18.75" x14ac:dyDescent="0.25">
      <c r="A326" s="252" t="s">
        <v>120</v>
      </c>
      <c r="B326" s="253"/>
      <c r="C326" s="254"/>
      <c r="D326" s="283"/>
      <c r="E326" s="284"/>
      <c r="F326" s="338"/>
      <c r="G326" s="340"/>
    </row>
    <row r="327" spans="1:7" ht="18.75" x14ac:dyDescent="0.25">
      <c r="A327" s="28"/>
      <c r="B327" s="28"/>
      <c r="C327" s="28"/>
      <c r="D327" s="17"/>
      <c r="E327" s="17"/>
      <c r="F327" s="17"/>
      <c r="G327" s="17"/>
    </row>
    <row r="328" spans="1:7" ht="18.75" x14ac:dyDescent="0.3">
      <c r="A328" s="9" t="s">
        <v>145</v>
      </c>
      <c r="B328" s="10">
        <v>244</v>
      </c>
    </row>
    <row r="329" spans="1:7" ht="18.75" x14ac:dyDescent="0.25">
      <c r="A329" s="8"/>
    </row>
    <row r="330" spans="1:7" ht="30" customHeight="1" x14ac:dyDescent="0.25">
      <c r="A330" s="275" t="s">
        <v>86</v>
      </c>
      <c r="B330" s="275"/>
      <c r="C330" s="275"/>
      <c r="D330" s="275" t="s">
        <v>137</v>
      </c>
      <c r="E330" s="275"/>
      <c r="F330" s="275" t="s">
        <v>138</v>
      </c>
      <c r="G330" s="275"/>
    </row>
    <row r="331" spans="1:7" ht="18.75" x14ac:dyDescent="0.3">
      <c r="A331" s="257">
        <v>1</v>
      </c>
      <c r="B331" s="286"/>
      <c r="C331" s="258"/>
      <c r="D331" s="248">
        <v>2</v>
      </c>
      <c r="E331" s="249"/>
      <c r="F331" s="248">
        <v>3</v>
      </c>
      <c r="G331" s="249"/>
    </row>
    <row r="332" spans="1:7" ht="18.75" x14ac:dyDescent="0.25">
      <c r="A332" s="252" t="s">
        <v>139</v>
      </c>
      <c r="B332" s="253"/>
      <c r="C332" s="254"/>
      <c r="D332" s="283"/>
      <c r="E332" s="284"/>
      <c r="F332" s="299">
        <f>'платные на 2022-2023 год'!G59</f>
        <v>0</v>
      </c>
      <c r="G332" s="300"/>
    </row>
    <row r="333" spans="1:7" ht="18.75" x14ac:dyDescent="0.25">
      <c r="A333" s="252" t="s">
        <v>140</v>
      </c>
      <c r="B333" s="253"/>
      <c r="C333" s="254"/>
      <c r="D333" s="283"/>
      <c r="E333" s="284"/>
      <c r="F333" s="299"/>
      <c r="G333" s="300"/>
    </row>
    <row r="334" spans="1:7" ht="18.75" x14ac:dyDescent="0.25">
      <c r="A334" s="252" t="s">
        <v>141</v>
      </c>
      <c r="B334" s="253"/>
      <c r="C334" s="254"/>
      <c r="D334" s="283"/>
      <c r="E334" s="284"/>
      <c r="F334" s="338"/>
      <c r="G334" s="340"/>
    </row>
    <row r="335" spans="1:7" ht="18.75" x14ac:dyDescent="0.25">
      <c r="A335" s="252" t="s">
        <v>120</v>
      </c>
      <c r="B335" s="253"/>
      <c r="C335" s="254"/>
      <c r="D335" s="283"/>
      <c r="E335" s="284"/>
      <c r="F335" s="338"/>
      <c r="G335" s="340"/>
    </row>
    <row r="336" spans="1:7" ht="18.75" x14ac:dyDescent="0.25">
      <c r="A336" s="8"/>
    </row>
    <row r="337" spans="1:7" ht="18.75" x14ac:dyDescent="0.25">
      <c r="A337" s="274" t="s">
        <v>222</v>
      </c>
      <c r="B337" s="274"/>
      <c r="C337" s="274"/>
      <c r="D337" s="274"/>
      <c r="E337" s="274"/>
      <c r="F337" s="274"/>
      <c r="G337" s="274"/>
    </row>
    <row r="338" spans="1:7" ht="18.75" x14ac:dyDescent="0.25">
      <c r="A338" s="9"/>
    </row>
    <row r="339" spans="1:7" ht="18.75" x14ac:dyDescent="0.3">
      <c r="A339" s="9" t="s">
        <v>145</v>
      </c>
      <c r="B339" s="10">
        <v>244</v>
      </c>
    </row>
    <row r="340" spans="1:7" ht="18.75" x14ac:dyDescent="0.25">
      <c r="A340" s="8"/>
    </row>
    <row r="341" spans="1:7" ht="36" customHeight="1" x14ac:dyDescent="0.25">
      <c r="A341" s="257" t="s">
        <v>86</v>
      </c>
      <c r="B341" s="258"/>
      <c r="C341" s="257" t="s">
        <v>137</v>
      </c>
      <c r="D341" s="258"/>
      <c r="E341" s="257" t="s">
        <v>138</v>
      </c>
      <c r="F341" s="286"/>
      <c r="G341" s="258"/>
    </row>
    <row r="342" spans="1:7" ht="18.75" x14ac:dyDescent="0.3">
      <c r="A342" s="257">
        <v>1</v>
      </c>
      <c r="B342" s="258"/>
      <c r="C342" s="257">
        <v>2</v>
      </c>
      <c r="D342" s="258"/>
      <c r="E342" s="248">
        <v>3</v>
      </c>
      <c r="F342" s="285"/>
      <c r="G342" s="249"/>
    </row>
    <row r="343" spans="1:7" ht="18.75" x14ac:dyDescent="0.25">
      <c r="A343" s="252" t="s">
        <v>25</v>
      </c>
      <c r="B343" s="254"/>
      <c r="C343" s="257"/>
      <c r="D343" s="258"/>
      <c r="E343" s="338">
        <f>'платные на 2022-2023 год'!G60</f>
        <v>0</v>
      </c>
      <c r="F343" s="339"/>
      <c r="G343" s="340"/>
    </row>
    <row r="344" spans="1:7" ht="18.75" x14ac:dyDescent="0.25">
      <c r="A344" s="252" t="s">
        <v>120</v>
      </c>
      <c r="B344" s="254"/>
      <c r="C344" s="257"/>
      <c r="D344" s="258"/>
      <c r="E344" s="338"/>
      <c r="F344" s="339"/>
      <c r="G344" s="340"/>
    </row>
    <row r="345" spans="1:7" x14ac:dyDescent="0.25">
      <c r="A345" s="23"/>
    </row>
    <row r="346" spans="1:7" ht="43.15" customHeight="1" x14ac:dyDescent="0.25">
      <c r="A346" s="282" t="s">
        <v>223</v>
      </c>
      <c r="B346" s="282"/>
      <c r="C346" s="282"/>
      <c r="D346" s="282"/>
      <c r="E346" s="282"/>
      <c r="F346" s="282"/>
      <c r="G346" s="282"/>
    </row>
    <row r="347" spans="1:7" ht="18.75" x14ac:dyDescent="0.25">
      <c r="A347" s="29"/>
    </row>
    <row r="348" spans="1:7" ht="18.75" x14ac:dyDescent="0.3">
      <c r="A348" s="9" t="s">
        <v>145</v>
      </c>
      <c r="B348" s="10">
        <v>244</v>
      </c>
    </row>
    <row r="349" spans="1:7" ht="18.75" x14ac:dyDescent="0.25">
      <c r="A349" s="8"/>
    </row>
    <row r="350" spans="1:7" ht="54.6" customHeight="1" x14ac:dyDescent="0.25">
      <c r="A350" s="106" t="s">
        <v>86</v>
      </c>
      <c r="B350" s="275" t="s">
        <v>142</v>
      </c>
      <c r="C350" s="275"/>
      <c r="D350" s="275" t="s">
        <v>143</v>
      </c>
      <c r="E350" s="275"/>
      <c r="F350" s="275" t="s">
        <v>149</v>
      </c>
      <c r="G350" s="275"/>
    </row>
    <row r="351" spans="1:7" ht="18.75" x14ac:dyDescent="0.25">
      <c r="A351" s="106">
        <v>1</v>
      </c>
      <c r="B351" s="257">
        <v>2</v>
      </c>
      <c r="C351" s="258"/>
      <c r="D351" s="257">
        <v>3</v>
      </c>
      <c r="E351" s="258"/>
      <c r="F351" s="257">
        <v>4</v>
      </c>
      <c r="G351" s="258"/>
    </row>
    <row r="352" spans="1:7" ht="18.75" x14ac:dyDescent="0.25">
      <c r="A352" s="106"/>
      <c r="B352" s="257"/>
      <c r="C352" s="258"/>
      <c r="D352" s="257"/>
      <c r="E352" s="258"/>
      <c r="F352" s="255"/>
      <c r="G352" s="256"/>
    </row>
    <row r="353" spans="1:7" ht="18.75" x14ac:dyDescent="0.25">
      <c r="A353" s="112" t="s">
        <v>248</v>
      </c>
      <c r="B353" s="257"/>
      <c r="C353" s="258"/>
      <c r="D353" s="257"/>
      <c r="E353" s="258"/>
      <c r="F353" s="255">
        <f>'платные на 2022-2023 год'!G81</f>
        <v>0</v>
      </c>
      <c r="G353" s="256"/>
    </row>
    <row r="354" spans="1:7" ht="18.75" x14ac:dyDescent="0.25">
      <c r="A354" s="112"/>
      <c r="B354" s="257"/>
      <c r="C354" s="258"/>
      <c r="D354" s="257"/>
      <c r="E354" s="258"/>
      <c r="F354" s="255"/>
      <c r="G354" s="256"/>
    </row>
    <row r="355" spans="1:7" ht="18.75" x14ac:dyDescent="0.25">
      <c r="A355" s="13" t="s">
        <v>249</v>
      </c>
      <c r="B355" s="257"/>
      <c r="C355" s="258"/>
      <c r="D355" s="257"/>
      <c r="E355" s="258"/>
      <c r="F355" s="255">
        <f>'платные на 2022-2023 год'!G88</f>
        <v>0</v>
      </c>
      <c r="G355" s="256"/>
    </row>
    <row r="356" spans="1:7" ht="18.75" x14ac:dyDescent="0.25">
      <c r="A356" s="8"/>
    </row>
    <row r="357" spans="1:7" ht="18.75" x14ac:dyDescent="0.25">
      <c r="A357" s="274" t="s">
        <v>224</v>
      </c>
      <c r="B357" s="274"/>
      <c r="C357" s="274"/>
      <c r="D357" s="274"/>
      <c r="E357" s="274"/>
      <c r="F357" s="274"/>
      <c r="G357" s="274"/>
    </row>
    <row r="358" spans="1:7" ht="18.75" x14ac:dyDescent="0.25">
      <c r="A358" s="9"/>
    </row>
    <row r="359" spans="1:7" ht="18.75" x14ac:dyDescent="0.3">
      <c r="A359" s="9" t="s">
        <v>145</v>
      </c>
      <c r="B359" s="10">
        <v>244</v>
      </c>
    </row>
    <row r="360" spans="1:7" ht="18.75" x14ac:dyDescent="0.25">
      <c r="A360" s="8"/>
    </row>
    <row r="361" spans="1:7" ht="54.6" customHeight="1" x14ac:dyDescent="0.25">
      <c r="A361" s="106" t="s">
        <v>86</v>
      </c>
      <c r="B361" s="275" t="s">
        <v>142</v>
      </c>
      <c r="C361" s="275"/>
      <c r="D361" s="275" t="s">
        <v>143</v>
      </c>
      <c r="E361" s="275"/>
      <c r="F361" s="275" t="s">
        <v>150</v>
      </c>
      <c r="G361" s="275"/>
    </row>
    <row r="362" spans="1:7" ht="18.75" x14ac:dyDescent="0.25">
      <c r="A362" s="106">
        <v>1</v>
      </c>
      <c r="B362" s="257">
        <v>2</v>
      </c>
      <c r="C362" s="258"/>
      <c r="D362" s="257">
        <v>3</v>
      </c>
      <c r="E362" s="258"/>
      <c r="F362" s="257">
        <v>4</v>
      </c>
      <c r="G362" s="258"/>
    </row>
    <row r="363" spans="1:7" ht="56.25" x14ac:dyDescent="0.25">
      <c r="A363" s="13" t="s">
        <v>144</v>
      </c>
      <c r="B363" s="257"/>
      <c r="C363" s="258"/>
      <c r="D363" s="257"/>
      <c r="E363" s="258"/>
      <c r="F363" s="255">
        <f>'платные на 2022-2023 год'!G94</f>
        <v>0</v>
      </c>
      <c r="G363" s="256"/>
    </row>
    <row r="364" spans="1:7" ht="18.75" x14ac:dyDescent="0.25">
      <c r="A364" s="13" t="s">
        <v>120</v>
      </c>
      <c r="B364" s="257"/>
      <c r="C364" s="258"/>
      <c r="D364" s="257"/>
      <c r="E364" s="258"/>
      <c r="F364" s="255"/>
      <c r="G364" s="256"/>
    </row>
    <row r="365" spans="1:7" ht="18.75" x14ac:dyDescent="0.25">
      <c r="A365" s="8"/>
    </row>
    <row r="366" spans="1:7" ht="28.15" customHeight="1" x14ac:dyDescent="0.25">
      <c r="A366" s="274" t="s">
        <v>250</v>
      </c>
      <c r="B366" s="274"/>
      <c r="C366" s="274"/>
      <c r="D366" s="274"/>
      <c r="E366" s="274"/>
      <c r="F366" s="274"/>
      <c r="G366" s="274"/>
    </row>
    <row r="367" spans="1:7" ht="18.75" x14ac:dyDescent="0.25">
      <c r="A367" s="9"/>
    </row>
    <row r="368" spans="1:7" ht="18.75" x14ac:dyDescent="0.3">
      <c r="A368" s="9" t="s">
        <v>145</v>
      </c>
      <c r="B368" s="10">
        <v>244</v>
      </c>
    </row>
    <row r="369" spans="1:7" ht="18.75" x14ac:dyDescent="0.25">
      <c r="A369" s="8"/>
    </row>
    <row r="370" spans="1:7" ht="37.9" customHeight="1" x14ac:dyDescent="0.25">
      <c r="A370" s="106" t="s">
        <v>86</v>
      </c>
      <c r="B370" s="275" t="s">
        <v>142</v>
      </c>
      <c r="C370" s="275"/>
      <c r="D370" s="275" t="s">
        <v>143</v>
      </c>
      <c r="E370" s="275"/>
      <c r="F370" s="275" t="s">
        <v>150</v>
      </c>
      <c r="G370" s="275"/>
    </row>
    <row r="371" spans="1:7" ht="18.75" x14ac:dyDescent="0.25">
      <c r="A371" s="106">
        <v>1</v>
      </c>
      <c r="B371" s="257">
        <v>2</v>
      </c>
      <c r="C371" s="258"/>
      <c r="D371" s="257">
        <v>3</v>
      </c>
      <c r="E371" s="258"/>
      <c r="F371" s="257">
        <v>4</v>
      </c>
      <c r="G371" s="258"/>
    </row>
    <row r="372" spans="1:7" ht="18.75" x14ac:dyDescent="0.25">
      <c r="A372" s="13"/>
      <c r="B372" s="257"/>
      <c r="C372" s="258"/>
      <c r="D372" s="257"/>
      <c r="E372" s="258"/>
      <c r="F372" s="255">
        <f>'платные на 2022-2023 год'!G95</f>
        <v>0</v>
      </c>
      <c r="G372" s="256"/>
    </row>
    <row r="373" spans="1:7" ht="18.75" x14ac:dyDescent="0.25">
      <c r="A373" s="13" t="s">
        <v>120</v>
      </c>
      <c r="B373" s="257"/>
      <c r="C373" s="258"/>
      <c r="D373" s="257"/>
      <c r="E373" s="258"/>
      <c r="F373" s="255"/>
      <c r="G373" s="256"/>
    </row>
    <row r="374" spans="1:7" ht="18.75" x14ac:dyDescent="0.25">
      <c r="A374" s="8"/>
    </row>
    <row r="375" spans="1:7" ht="31.9" customHeight="1" x14ac:dyDescent="0.25">
      <c r="A375" s="282" t="s">
        <v>251</v>
      </c>
      <c r="B375" s="282"/>
      <c r="C375" s="282"/>
      <c r="D375" s="282"/>
      <c r="E375" s="282"/>
      <c r="F375" s="282"/>
      <c r="G375" s="282"/>
    </row>
    <row r="376" spans="1:7" ht="18.75" x14ac:dyDescent="0.25">
      <c r="A376" s="9"/>
    </row>
    <row r="377" spans="1:7" ht="18.75" x14ac:dyDescent="0.3">
      <c r="A377" s="9" t="s">
        <v>145</v>
      </c>
      <c r="B377" s="10">
        <v>244</v>
      </c>
    </row>
    <row r="378" spans="1:7" ht="18.75" x14ac:dyDescent="0.25">
      <c r="A378" s="8"/>
    </row>
    <row r="379" spans="1:7" ht="54.6" customHeight="1" x14ac:dyDescent="0.25">
      <c r="A379" s="106" t="s">
        <v>86</v>
      </c>
      <c r="B379" s="275" t="s">
        <v>142</v>
      </c>
      <c r="C379" s="275"/>
      <c r="D379" s="275" t="s">
        <v>143</v>
      </c>
      <c r="E379" s="275"/>
      <c r="F379" s="275" t="s">
        <v>150</v>
      </c>
      <c r="G379" s="275"/>
    </row>
    <row r="380" spans="1:7" ht="18.75" x14ac:dyDescent="0.25">
      <c r="A380" s="106">
        <v>1</v>
      </c>
      <c r="B380" s="257">
        <v>2</v>
      </c>
      <c r="C380" s="258"/>
      <c r="D380" s="257">
        <v>3</v>
      </c>
      <c r="E380" s="258"/>
      <c r="F380" s="257">
        <v>4</v>
      </c>
      <c r="G380" s="258"/>
    </row>
    <row r="381" spans="1:7" ht="18.75" x14ac:dyDescent="0.25">
      <c r="A381" s="13"/>
      <c r="B381" s="287"/>
      <c r="C381" s="288"/>
      <c r="D381" s="287"/>
      <c r="E381" s="288"/>
      <c r="F381" s="336"/>
      <c r="G381" s="337"/>
    </row>
    <row r="382" spans="1:7" ht="18.75" x14ac:dyDescent="0.25">
      <c r="A382" s="13" t="s">
        <v>237</v>
      </c>
      <c r="B382" s="287"/>
      <c r="C382" s="288"/>
      <c r="D382" s="287"/>
      <c r="E382" s="288"/>
      <c r="F382" s="336">
        <f>'платные на 2022-2023 год'!G98</f>
        <v>0</v>
      </c>
      <c r="G382" s="337"/>
    </row>
    <row r="383" spans="1:7" ht="18.75" x14ac:dyDescent="0.25">
      <c r="A383" s="13"/>
      <c r="B383" s="287"/>
      <c r="C383" s="288"/>
      <c r="D383" s="287"/>
      <c r="E383" s="288"/>
      <c r="F383" s="336"/>
      <c r="G383" s="337"/>
    </row>
    <row r="384" spans="1:7" ht="18.75" x14ac:dyDescent="0.25">
      <c r="A384" s="13" t="s">
        <v>238</v>
      </c>
      <c r="B384" s="287"/>
      <c r="C384" s="288"/>
      <c r="D384" s="287"/>
      <c r="E384" s="288"/>
      <c r="F384" s="336">
        <f>'платные на 2022-2023 год'!G99</f>
        <v>0</v>
      </c>
      <c r="G384" s="337"/>
    </row>
    <row r="385" spans="1:7" ht="18.75" x14ac:dyDescent="0.25">
      <c r="A385" s="13"/>
      <c r="B385" s="287"/>
      <c r="C385" s="288"/>
      <c r="D385" s="287"/>
      <c r="E385" s="288"/>
      <c r="F385" s="336"/>
      <c r="G385" s="337"/>
    </row>
    <row r="386" spans="1:7" ht="18.75" x14ac:dyDescent="0.25">
      <c r="A386" s="13" t="s">
        <v>239</v>
      </c>
      <c r="B386" s="287"/>
      <c r="C386" s="288"/>
      <c r="D386" s="287"/>
      <c r="E386" s="288"/>
      <c r="F386" s="336">
        <f>'платные на 2022-2023 год'!G100</f>
        <v>0</v>
      </c>
      <c r="G386" s="337"/>
    </row>
    <row r="387" spans="1:7" ht="18.75" x14ac:dyDescent="0.25">
      <c r="A387" s="13"/>
      <c r="B387" s="287"/>
      <c r="C387" s="288"/>
      <c r="D387" s="287"/>
      <c r="E387" s="288"/>
      <c r="F387" s="336"/>
      <c r="G387" s="337"/>
    </row>
    <row r="388" spans="1:7" ht="18.75" x14ac:dyDescent="0.25">
      <c r="A388" s="13" t="s">
        <v>240</v>
      </c>
      <c r="B388" s="287"/>
      <c r="C388" s="288"/>
      <c r="D388" s="287"/>
      <c r="E388" s="288"/>
      <c r="F388" s="336">
        <f>'платные на 2022-2023 год'!G101</f>
        <v>0</v>
      </c>
      <c r="G388" s="337"/>
    </row>
    <row r="389" spans="1:7" ht="18.75" x14ac:dyDescent="0.25">
      <c r="A389" s="13"/>
      <c r="B389" s="287"/>
      <c r="C389" s="288"/>
      <c r="D389" s="287"/>
      <c r="E389" s="288"/>
      <c r="F389" s="336"/>
      <c r="G389" s="337"/>
    </row>
    <row r="390" spans="1:7" ht="18.75" x14ac:dyDescent="0.25">
      <c r="A390" s="13" t="s">
        <v>241</v>
      </c>
      <c r="B390" s="287"/>
      <c r="C390" s="288"/>
      <c r="D390" s="287"/>
      <c r="E390" s="288"/>
      <c r="F390" s="336">
        <f>'платные на 2022-2023 год'!G102</f>
        <v>0</v>
      </c>
      <c r="G390" s="337"/>
    </row>
    <row r="391" spans="1:7" ht="18.75" x14ac:dyDescent="0.25">
      <c r="A391" s="13"/>
      <c r="B391" s="287"/>
      <c r="C391" s="288"/>
      <c r="D391" s="287"/>
      <c r="E391" s="288"/>
      <c r="F391" s="336"/>
      <c r="G391" s="337"/>
    </row>
    <row r="392" spans="1:7" ht="18.75" x14ac:dyDescent="0.25">
      <c r="A392" s="13" t="s">
        <v>242</v>
      </c>
      <c r="B392" s="287"/>
      <c r="C392" s="288"/>
      <c r="D392" s="287"/>
      <c r="E392" s="288"/>
      <c r="F392" s="336">
        <f>'платные на 2022-2023 год'!G103</f>
        <v>0</v>
      </c>
      <c r="G392" s="337"/>
    </row>
    <row r="393" spans="1:7" ht="18.75" x14ac:dyDescent="0.25">
      <c r="A393" s="13"/>
      <c r="B393" s="287"/>
      <c r="C393" s="288"/>
      <c r="D393" s="287"/>
      <c r="E393" s="288"/>
      <c r="F393" s="336"/>
      <c r="G393" s="337"/>
    </row>
    <row r="394" spans="1:7" ht="18.75" x14ac:dyDescent="0.25">
      <c r="A394" s="13" t="s">
        <v>243</v>
      </c>
      <c r="B394" s="287"/>
      <c r="C394" s="288"/>
      <c r="D394" s="287"/>
      <c r="E394" s="288"/>
      <c r="F394" s="336">
        <f>'платные на 2022-2023 год'!G105</f>
        <v>0</v>
      </c>
      <c r="G394" s="337"/>
    </row>
    <row r="395" spans="1:7" ht="18.75" x14ac:dyDescent="0.25">
      <c r="A395" s="15"/>
      <c r="B395" s="16"/>
      <c r="C395" s="16"/>
      <c r="D395" s="16"/>
      <c r="E395" s="16"/>
      <c r="F395" s="78"/>
      <c r="G395" s="78"/>
    </row>
    <row r="396" spans="1:7" ht="18.75" x14ac:dyDescent="0.25">
      <c r="A396" s="29"/>
    </row>
    <row r="397" spans="1:7" ht="37.5" x14ac:dyDescent="0.3">
      <c r="A397" s="29" t="s">
        <v>151</v>
      </c>
      <c r="B397" s="10"/>
      <c r="C397" s="224"/>
      <c r="D397" s="224"/>
      <c r="E397" s="10"/>
      <c r="F397" s="224"/>
      <c r="G397" s="224"/>
    </row>
    <row r="398" spans="1:7" ht="18.75" x14ac:dyDescent="0.3">
      <c r="A398" s="29"/>
      <c r="B398" s="10"/>
      <c r="C398" s="223" t="s">
        <v>53</v>
      </c>
      <c r="D398" s="223"/>
      <c r="E398" s="10"/>
      <c r="F398" s="223" t="s">
        <v>54</v>
      </c>
      <c r="G398" s="223"/>
    </row>
    <row r="399" spans="1:7" ht="18.75" x14ac:dyDescent="0.3">
      <c r="A399" s="29"/>
      <c r="B399" s="10"/>
      <c r="C399" s="104"/>
      <c r="D399" s="104"/>
      <c r="E399" s="10"/>
      <c r="F399" s="104"/>
      <c r="G399" s="104"/>
    </row>
    <row r="400" spans="1:7" ht="56.25" x14ac:dyDescent="0.3">
      <c r="A400" s="29" t="s">
        <v>152</v>
      </c>
      <c r="B400" s="10"/>
      <c r="C400" s="224"/>
      <c r="D400" s="224"/>
      <c r="E400" s="10"/>
      <c r="F400" s="224"/>
      <c r="G400" s="224"/>
    </row>
    <row r="401" spans="1:7" ht="18.75" x14ac:dyDescent="0.3">
      <c r="A401" s="29"/>
      <c r="B401" s="10"/>
      <c r="C401" s="223" t="s">
        <v>53</v>
      </c>
      <c r="D401" s="223"/>
      <c r="E401" s="10"/>
      <c r="F401" s="223" t="s">
        <v>54</v>
      </c>
      <c r="G401" s="223"/>
    </row>
    <row r="402" spans="1:7" ht="18.75" x14ac:dyDescent="0.3">
      <c r="A402" s="29"/>
      <c r="B402" s="10"/>
      <c r="C402" s="104"/>
      <c r="D402" s="104"/>
      <c r="E402" s="10"/>
      <c r="F402" s="104"/>
      <c r="G402" s="104"/>
    </row>
    <row r="403" spans="1:7" ht="18.75" x14ac:dyDescent="0.3">
      <c r="A403" s="29" t="s">
        <v>153</v>
      </c>
      <c r="B403" s="10"/>
      <c r="C403" s="224"/>
      <c r="D403" s="224"/>
      <c r="E403" s="10"/>
      <c r="F403" s="224"/>
      <c r="G403" s="224"/>
    </row>
    <row r="404" spans="1:7" ht="18.75" x14ac:dyDescent="0.3">
      <c r="A404" s="29"/>
      <c r="B404" s="10"/>
      <c r="C404" s="223" t="s">
        <v>53</v>
      </c>
      <c r="D404" s="223"/>
      <c r="E404" s="10"/>
      <c r="F404" s="223" t="s">
        <v>54</v>
      </c>
      <c r="G404" s="223"/>
    </row>
    <row r="405" spans="1:7" ht="18.75" x14ac:dyDescent="0.3">
      <c r="A405" s="29" t="s">
        <v>154</v>
      </c>
      <c r="B405" s="10"/>
      <c r="C405" s="10"/>
      <c r="D405" s="10"/>
      <c r="E405" s="10"/>
      <c r="F405" s="10"/>
      <c r="G405" s="10"/>
    </row>
    <row r="406" spans="1:7" ht="18.75" x14ac:dyDescent="0.3">
      <c r="A406" s="222" t="s">
        <v>44</v>
      </c>
      <c r="B406" s="222"/>
      <c r="C406" s="10"/>
      <c r="D406" s="10"/>
      <c r="E406" s="10"/>
      <c r="F406" s="10"/>
      <c r="G406" s="10"/>
    </row>
  </sheetData>
  <mergeCells count="595">
    <mergeCell ref="E1:G1"/>
    <mergeCell ref="A2:G2"/>
    <mergeCell ref="A4:G4"/>
    <mergeCell ref="A5:G5"/>
    <mergeCell ref="B9:C9"/>
    <mergeCell ref="D9:E9"/>
    <mergeCell ref="F9:G9"/>
    <mergeCell ref="B12:C12"/>
    <mergeCell ref="D12:E12"/>
    <mergeCell ref="F12:G12"/>
    <mergeCell ref="A14:G14"/>
    <mergeCell ref="B18:C18"/>
    <mergeCell ref="D18:E18"/>
    <mergeCell ref="F18:G18"/>
    <mergeCell ref="B10:C10"/>
    <mergeCell ref="D10:E10"/>
    <mergeCell ref="F10:G10"/>
    <mergeCell ref="B11:C11"/>
    <mergeCell ref="D11:E11"/>
    <mergeCell ref="F11:G11"/>
    <mergeCell ref="B24:C24"/>
    <mergeCell ref="D24:E24"/>
    <mergeCell ref="F24:G24"/>
    <mergeCell ref="B25:C25"/>
    <mergeCell ref="D25:E25"/>
    <mergeCell ref="F25:G25"/>
    <mergeCell ref="B19:C19"/>
    <mergeCell ref="D19:E19"/>
    <mergeCell ref="F19:G19"/>
    <mergeCell ref="B20:C20"/>
    <mergeCell ref="D20:E20"/>
    <mergeCell ref="F20:G20"/>
    <mergeCell ref="B31:C31"/>
    <mergeCell ref="D31:E31"/>
    <mergeCell ref="F31:G31"/>
    <mergeCell ref="B32:C32"/>
    <mergeCell ref="D32:E32"/>
    <mergeCell ref="F32:G32"/>
    <mergeCell ref="B26:C26"/>
    <mergeCell ref="D26:E26"/>
    <mergeCell ref="F26:G26"/>
    <mergeCell ref="B30:C30"/>
    <mergeCell ref="D30:E30"/>
    <mergeCell ref="F30:G30"/>
    <mergeCell ref="A42:G42"/>
    <mergeCell ref="B46:C46"/>
    <mergeCell ref="D46:E46"/>
    <mergeCell ref="F46:G46"/>
    <mergeCell ref="B47:C47"/>
    <mergeCell ref="D47:E47"/>
    <mergeCell ref="F47:G47"/>
    <mergeCell ref="A34:G34"/>
    <mergeCell ref="A38:C38"/>
    <mergeCell ref="D38:G38"/>
    <mergeCell ref="A39:C39"/>
    <mergeCell ref="D39:G39"/>
    <mergeCell ref="A40:C40"/>
    <mergeCell ref="D40:G40"/>
    <mergeCell ref="B55:C55"/>
    <mergeCell ref="D55:E55"/>
    <mergeCell ref="F55:G55"/>
    <mergeCell ref="B56:C56"/>
    <mergeCell ref="D56:E56"/>
    <mergeCell ref="F56:G56"/>
    <mergeCell ref="B48:C48"/>
    <mergeCell ref="D48:E48"/>
    <mergeCell ref="F48:G48"/>
    <mergeCell ref="A50:G50"/>
    <mergeCell ref="B54:C54"/>
    <mergeCell ref="D54:E54"/>
    <mergeCell ref="F54:G54"/>
    <mergeCell ref="B64:C64"/>
    <mergeCell ref="D64:E64"/>
    <mergeCell ref="F64:G64"/>
    <mergeCell ref="B68:C68"/>
    <mergeCell ref="D68:E68"/>
    <mergeCell ref="F68:G68"/>
    <mergeCell ref="A58:G58"/>
    <mergeCell ref="B62:C62"/>
    <mergeCell ref="D62:E62"/>
    <mergeCell ref="F62:G62"/>
    <mergeCell ref="B63:C63"/>
    <mergeCell ref="D63:E63"/>
    <mergeCell ref="F63:G63"/>
    <mergeCell ref="A72:G72"/>
    <mergeCell ref="B76:C76"/>
    <mergeCell ref="D76:E76"/>
    <mergeCell ref="F76:G76"/>
    <mergeCell ref="B77:C77"/>
    <mergeCell ref="D77:E77"/>
    <mergeCell ref="F77:G77"/>
    <mergeCell ref="B69:C69"/>
    <mergeCell ref="D69:E69"/>
    <mergeCell ref="F69:G69"/>
    <mergeCell ref="B70:C70"/>
    <mergeCell ref="D70:E70"/>
    <mergeCell ref="F70:G70"/>
    <mergeCell ref="B83:C83"/>
    <mergeCell ref="D83:E83"/>
    <mergeCell ref="F83:G83"/>
    <mergeCell ref="B84:C84"/>
    <mergeCell ref="D84:E84"/>
    <mergeCell ref="F84:G84"/>
    <mergeCell ref="B78:C78"/>
    <mergeCell ref="D78:E78"/>
    <mergeCell ref="F78:G78"/>
    <mergeCell ref="B82:C82"/>
    <mergeCell ref="D82:E82"/>
    <mergeCell ref="F82:G82"/>
    <mergeCell ref="B92:C92"/>
    <mergeCell ref="D92:E92"/>
    <mergeCell ref="F92:G92"/>
    <mergeCell ref="B93:C93"/>
    <mergeCell ref="D93:E93"/>
    <mergeCell ref="F93:G93"/>
    <mergeCell ref="A86:G86"/>
    <mergeCell ref="B90:C90"/>
    <mergeCell ref="D90:E90"/>
    <mergeCell ref="F90:G90"/>
    <mergeCell ref="B91:C91"/>
    <mergeCell ref="D91:E91"/>
    <mergeCell ref="F91:G91"/>
    <mergeCell ref="D103:F103"/>
    <mergeCell ref="A109:G109"/>
    <mergeCell ref="A113:A114"/>
    <mergeCell ref="B113:C114"/>
    <mergeCell ref="D113:E114"/>
    <mergeCell ref="F113:G114"/>
    <mergeCell ref="B94:C94"/>
    <mergeCell ref="D94:E94"/>
    <mergeCell ref="F94:G94"/>
    <mergeCell ref="A96:G96"/>
    <mergeCell ref="A98:G98"/>
    <mergeCell ref="A102:A104"/>
    <mergeCell ref="B102:B104"/>
    <mergeCell ref="C102:F102"/>
    <mergeCell ref="G102:G104"/>
    <mergeCell ref="C103:C104"/>
    <mergeCell ref="A118:G118"/>
    <mergeCell ref="C122:D122"/>
    <mergeCell ref="F122:G122"/>
    <mergeCell ref="C123:D123"/>
    <mergeCell ref="F123:G123"/>
    <mergeCell ref="C124:D124"/>
    <mergeCell ref="F124:G124"/>
    <mergeCell ref="B115:C115"/>
    <mergeCell ref="D115:E115"/>
    <mergeCell ref="F115:G115"/>
    <mergeCell ref="B116:C116"/>
    <mergeCell ref="D116:E116"/>
    <mergeCell ref="F116:G116"/>
    <mergeCell ref="A134:G134"/>
    <mergeCell ref="A138:B138"/>
    <mergeCell ref="D138:E138"/>
    <mergeCell ref="F138:G138"/>
    <mergeCell ref="A139:B139"/>
    <mergeCell ref="D139:E139"/>
    <mergeCell ref="F139:G139"/>
    <mergeCell ref="A126:G126"/>
    <mergeCell ref="C130:E130"/>
    <mergeCell ref="F130:G130"/>
    <mergeCell ref="C131:E131"/>
    <mergeCell ref="F131:G131"/>
    <mergeCell ref="C132:E132"/>
    <mergeCell ref="F132:G132"/>
    <mergeCell ref="C147:D147"/>
    <mergeCell ref="F147:G147"/>
    <mergeCell ref="C148:D148"/>
    <mergeCell ref="F148:G148"/>
    <mergeCell ref="A150:G150"/>
    <mergeCell ref="C154:D154"/>
    <mergeCell ref="F154:G154"/>
    <mergeCell ref="A140:B140"/>
    <mergeCell ref="D140:E140"/>
    <mergeCell ref="F140:G140"/>
    <mergeCell ref="A142:G142"/>
    <mergeCell ref="C146:D146"/>
    <mergeCell ref="F146:G146"/>
    <mergeCell ref="C161:D161"/>
    <mergeCell ref="F161:G161"/>
    <mergeCell ref="C162:D162"/>
    <mergeCell ref="F162:G162"/>
    <mergeCell ref="C163:D163"/>
    <mergeCell ref="F163:G163"/>
    <mergeCell ref="C155:D155"/>
    <mergeCell ref="F155:G155"/>
    <mergeCell ref="C156:D156"/>
    <mergeCell ref="F156:G156"/>
    <mergeCell ref="C160:D160"/>
    <mergeCell ref="F160:G160"/>
    <mergeCell ref="B171:C171"/>
    <mergeCell ref="D171:E171"/>
    <mergeCell ref="F171:G171"/>
    <mergeCell ref="D175:E175"/>
    <mergeCell ref="F175:G175"/>
    <mergeCell ref="D176:E176"/>
    <mergeCell ref="F176:G176"/>
    <mergeCell ref="A165:G165"/>
    <mergeCell ref="B169:C169"/>
    <mergeCell ref="D169:E169"/>
    <mergeCell ref="F169:G169"/>
    <mergeCell ref="B170:C170"/>
    <mergeCell ref="D170:E170"/>
    <mergeCell ref="F170:G170"/>
    <mergeCell ref="B184:C184"/>
    <mergeCell ref="D184:E184"/>
    <mergeCell ref="F184:G184"/>
    <mergeCell ref="B185:C185"/>
    <mergeCell ref="D185:E185"/>
    <mergeCell ref="F185:G185"/>
    <mergeCell ref="D177:E177"/>
    <mergeCell ref="F177:G177"/>
    <mergeCell ref="A179:G179"/>
    <mergeCell ref="B183:C183"/>
    <mergeCell ref="D183:E183"/>
    <mergeCell ref="F183:G183"/>
    <mergeCell ref="B192:C192"/>
    <mergeCell ref="D192:E192"/>
    <mergeCell ref="F192:G192"/>
    <mergeCell ref="B193:C193"/>
    <mergeCell ref="D193:E193"/>
    <mergeCell ref="F193:G194"/>
    <mergeCell ref="B194:C194"/>
    <mergeCell ref="D194:E194"/>
    <mergeCell ref="B186:C186"/>
    <mergeCell ref="D186:E186"/>
    <mergeCell ref="F186:G186"/>
    <mergeCell ref="A188:G188"/>
    <mergeCell ref="B191:C191"/>
    <mergeCell ref="D191:E191"/>
    <mergeCell ref="F191:G191"/>
    <mergeCell ref="B200:C200"/>
    <mergeCell ref="D200:E200"/>
    <mergeCell ref="F200:G200"/>
    <mergeCell ref="B201:C201"/>
    <mergeCell ref="D201:E201"/>
    <mergeCell ref="F201:G201"/>
    <mergeCell ref="B198:C198"/>
    <mergeCell ref="D198:E198"/>
    <mergeCell ref="F198:G198"/>
    <mergeCell ref="B199:C199"/>
    <mergeCell ref="D199:E199"/>
    <mergeCell ref="F199:G199"/>
    <mergeCell ref="B207:C207"/>
    <mergeCell ref="D207:E207"/>
    <mergeCell ref="F207:G207"/>
    <mergeCell ref="B208:C208"/>
    <mergeCell ref="D208:E208"/>
    <mergeCell ref="F208:G208"/>
    <mergeCell ref="B205:C205"/>
    <mergeCell ref="D205:E205"/>
    <mergeCell ref="F205:G205"/>
    <mergeCell ref="B206:C206"/>
    <mergeCell ref="D206:E206"/>
    <mergeCell ref="F206:G206"/>
    <mergeCell ref="B216:C216"/>
    <mergeCell ref="D216:E216"/>
    <mergeCell ref="F216:G216"/>
    <mergeCell ref="B217:C217"/>
    <mergeCell ref="D217:E217"/>
    <mergeCell ref="F217:G217"/>
    <mergeCell ref="A210:G210"/>
    <mergeCell ref="B214:C214"/>
    <mergeCell ref="D214:E214"/>
    <mergeCell ref="F214:G214"/>
    <mergeCell ref="B215:C215"/>
    <mergeCell ref="D215:E215"/>
    <mergeCell ref="F215:G215"/>
    <mergeCell ref="B223:C223"/>
    <mergeCell ref="D223:E223"/>
    <mergeCell ref="F223:G223"/>
    <mergeCell ref="B224:C224"/>
    <mergeCell ref="D224:E224"/>
    <mergeCell ref="F224:G224"/>
    <mergeCell ref="B221:C221"/>
    <mergeCell ref="D221:E221"/>
    <mergeCell ref="F221:G221"/>
    <mergeCell ref="B222:C222"/>
    <mergeCell ref="D222:E222"/>
    <mergeCell ref="F222:G222"/>
    <mergeCell ref="B230:C230"/>
    <mergeCell ref="D230:E230"/>
    <mergeCell ref="F230:G230"/>
    <mergeCell ref="B231:C231"/>
    <mergeCell ref="D231:E231"/>
    <mergeCell ref="F231:G231"/>
    <mergeCell ref="B228:C228"/>
    <mergeCell ref="D228:E228"/>
    <mergeCell ref="F228:G228"/>
    <mergeCell ref="B229:C229"/>
    <mergeCell ref="D229:E229"/>
    <mergeCell ref="F229:G229"/>
    <mergeCell ref="B238:C238"/>
    <mergeCell ref="D238:E238"/>
    <mergeCell ref="F238:G238"/>
    <mergeCell ref="B239:C239"/>
    <mergeCell ref="D239:E239"/>
    <mergeCell ref="F239:G239"/>
    <mergeCell ref="A233:G233"/>
    <mergeCell ref="B236:C236"/>
    <mergeCell ref="D236:E236"/>
    <mergeCell ref="F236:G236"/>
    <mergeCell ref="B237:C237"/>
    <mergeCell ref="D237:E237"/>
    <mergeCell ref="F237:G237"/>
    <mergeCell ref="B242:C242"/>
    <mergeCell ref="D242:E242"/>
    <mergeCell ref="F242:G242"/>
    <mergeCell ref="B243:C243"/>
    <mergeCell ref="D243:E243"/>
    <mergeCell ref="F243:G243"/>
    <mergeCell ref="B240:C240"/>
    <mergeCell ref="D240:E240"/>
    <mergeCell ref="F240:G240"/>
    <mergeCell ref="B241:C241"/>
    <mergeCell ref="D241:E241"/>
    <mergeCell ref="F241:G241"/>
    <mergeCell ref="B246:C246"/>
    <mergeCell ref="D246:E246"/>
    <mergeCell ref="F246:G246"/>
    <mergeCell ref="B247:C247"/>
    <mergeCell ref="D247:E247"/>
    <mergeCell ref="F247:G247"/>
    <mergeCell ref="B244:C244"/>
    <mergeCell ref="D244:E244"/>
    <mergeCell ref="F244:G244"/>
    <mergeCell ref="B245:C245"/>
    <mergeCell ref="D245:E245"/>
    <mergeCell ref="F245:G245"/>
    <mergeCell ref="B256:C256"/>
    <mergeCell ref="D256:E256"/>
    <mergeCell ref="F256:G256"/>
    <mergeCell ref="B257:C257"/>
    <mergeCell ref="D257:E257"/>
    <mergeCell ref="F257:G257"/>
    <mergeCell ref="B248:C248"/>
    <mergeCell ref="D248:E248"/>
    <mergeCell ref="F248:G248"/>
    <mergeCell ref="A250:G250"/>
    <mergeCell ref="A251:G251"/>
    <mergeCell ref="B255:C255"/>
    <mergeCell ref="D255:E255"/>
    <mergeCell ref="F255:G255"/>
    <mergeCell ref="B265:C265"/>
    <mergeCell ref="D265:E265"/>
    <mergeCell ref="F265:G265"/>
    <mergeCell ref="B266:C266"/>
    <mergeCell ref="D266:E266"/>
    <mergeCell ref="F266:G266"/>
    <mergeCell ref="B258:C258"/>
    <mergeCell ref="D258:E258"/>
    <mergeCell ref="F258:G258"/>
    <mergeCell ref="A260:G260"/>
    <mergeCell ref="B264:C264"/>
    <mergeCell ref="D264:E264"/>
    <mergeCell ref="F264:G264"/>
    <mergeCell ref="A270:G270"/>
    <mergeCell ref="B274:C274"/>
    <mergeCell ref="D274:E274"/>
    <mergeCell ref="F274:G274"/>
    <mergeCell ref="B275:C275"/>
    <mergeCell ref="D275:E275"/>
    <mergeCell ref="F275:G275"/>
    <mergeCell ref="B267:C267"/>
    <mergeCell ref="D267:E267"/>
    <mergeCell ref="F267:G267"/>
    <mergeCell ref="B268:C268"/>
    <mergeCell ref="D268:E268"/>
    <mergeCell ref="F268:G268"/>
    <mergeCell ref="A279:G279"/>
    <mergeCell ref="B283:C283"/>
    <mergeCell ref="D283:E283"/>
    <mergeCell ref="F283:G283"/>
    <mergeCell ref="B284:C284"/>
    <mergeCell ref="D284:E284"/>
    <mergeCell ref="F284:G284"/>
    <mergeCell ref="B276:C276"/>
    <mergeCell ref="D276:E276"/>
    <mergeCell ref="F276:G276"/>
    <mergeCell ref="B277:C277"/>
    <mergeCell ref="D277:E277"/>
    <mergeCell ref="F277:G277"/>
    <mergeCell ref="B287:C287"/>
    <mergeCell ref="D287:E287"/>
    <mergeCell ref="F287:G287"/>
    <mergeCell ref="B288:C288"/>
    <mergeCell ref="D288:E288"/>
    <mergeCell ref="F288:G288"/>
    <mergeCell ref="B285:C285"/>
    <mergeCell ref="D285:E285"/>
    <mergeCell ref="F285:G285"/>
    <mergeCell ref="B286:C286"/>
    <mergeCell ref="D286:E286"/>
    <mergeCell ref="F286:G286"/>
    <mergeCell ref="B296:C296"/>
    <mergeCell ref="D296:E296"/>
    <mergeCell ref="F296:G296"/>
    <mergeCell ref="B297:C297"/>
    <mergeCell ref="D297:E297"/>
    <mergeCell ref="F297:G297"/>
    <mergeCell ref="B289:C289"/>
    <mergeCell ref="D289:E289"/>
    <mergeCell ref="F289:G289"/>
    <mergeCell ref="A291:G291"/>
    <mergeCell ref="B295:C295"/>
    <mergeCell ref="D295:E295"/>
    <mergeCell ref="F295:G295"/>
    <mergeCell ref="A305:C305"/>
    <mergeCell ref="D305:E305"/>
    <mergeCell ref="F305:G305"/>
    <mergeCell ref="A306:C306"/>
    <mergeCell ref="D306:E306"/>
    <mergeCell ref="F306:G306"/>
    <mergeCell ref="B298:C298"/>
    <mergeCell ref="D298:E298"/>
    <mergeCell ref="F298:G298"/>
    <mergeCell ref="A300:G300"/>
    <mergeCell ref="A304:C304"/>
    <mergeCell ref="D304:E304"/>
    <mergeCell ref="F304:G304"/>
    <mergeCell ref="A312:C312"/>
    <mergeCell ref="D312:E312"/>
    <mergeCell ref="F312:G312"/>
    <mergeCell ref="A313:C313"/>
    <mergeCell ref="D313:E313"/>
    <mergeCell ref="F313:G313"/>
    <mergeCell ref="A307:C307"/>
    <mergeCell ref="D307:E307"/>
    <mergeCell ref="F307:G307"/>
    <mergeCell ref="A311:C311"/>
    <mergeCell ref="D311:E311"/>
    <mergeCell ref="F311:G311"/>
    <mergeCell ref="A316:C316"/>
    <mergeCell ref="D316:E316"/>
    <mergeCell ref="F316:G316"/>
    <mergeCell ref="A317:C317"/>
    <mergeCell ref="D317:E317"/>
    <mergeCell ref="F317:G317"/>
    <mergeCell ref="A314:C314"/>
    <mergeCell ref="D314:E314"/>
    <mergeCell ref="F314:G314"/>
    <mergeCell ref="A315:C315"/>
    <mergeCell ref="D315:E315"/>
    <mergeCell ref="F315:G315"/>
    <mergeCell ref="A325:C325"/>
    <mergeCell ref="D325:E325"/>
    <mergeCell ref="F325:G325"/>
    <mergeCell ref="A326:C326"/>
    <mergeCell ref="D326:E326"/>
    <mergeCell ref="F326:G326"/>
    <mergeCell ref="A319:G319"/>
    <mergeCell ref="A323:C323"/>
    <mergeCell ref="D323:E323"/>
    <mergeCell ref="F323:G323"/>
    <mergeCell ref="A324:C324"/>
    <mergeCell ref="D324:E324"/>
    <mergeCell ref="F324:G324"/>
    <mergeCell ref="A332:C332"/>
    <mergeCell ref="D332:E332"/>
    <mergeCell ref="F332:G332"/>
    <mergeCell ref="A333:C333"/>
    <mergeCell ref="D333:E333"/>
    <mergeCell ref="F333:G333"/>
    <mergeCell ref="A330:C330"/>
    <mergeCell ref="D330:E330"/>
    <mergeCell ref="F330:G330"/>
    <mergeCell ref="A331:C331"/>
    <mergeCell ref="D331:E331"/>
    <mergeCell ref="F331:G331"/>
    <mergeCell ref="A337:G337"/>
    <mergeCell ref="A341:B341"/>
    <mergeCell ref="C341:D341"/>
    <mergeCell ref="E341:G341"/>
    <mergeCell ref="A342:B342"/>
    <mergeCell ref="C342:D342"/>
    <mergeCell ref="E342:G342"/>
    <mergeCell ref="A334:C334"/>
    <mergeCell ref="D334:E334"/>
    <mergeCell ref="F334:G334"/>
    <mergeCell ref="A335:C335"/>
    <mergeCell ref="D335:E335"/>
    <mergeCell ref="F335:G335"/>
    <mergeCell ref="A346:G346"/>
    <mergeCell ref="B350:C350"/>
    <mergeCell ref="D350:E350"/>
    <mergeCell ref="F350:G350"/>
    <mergeCell ref="B351:C351"/>
    <mergeCell ref="D351:E351"/>
    <mergeCell ref="F351:G351"/>
    <mergeCell ref="A343:B343"/>
    <mergeCell ref="C343:D343"/>
    <mergeCell ref="E343:G343"/>
    <mergeCell ref="A344:B344"/>
    <mergeCell ref="C344:D344"/>
    <mergeCell ref="E344:G344"/>
    <mergeCell ref="B354:C354"/>
    <mergeCell ref="D354:E354"/>
    <mergeCell ref="F354:G354"/>
    <mergeCell ref="B355:C355"/>
    <mergeCell ref="D355:E355"/>
    <mergeCell ref="F355:G355"/>
    <mergeCell ref="B352:C352"/>
    <mergeCell ref="D352:E352"/>
    <mergeCell ref="F352:G352"/>
    <mergeCell ref="B353:C353"/>
    <mergeCell ref="D353:E353"/>
    <mergeCell ref="F353:G353"/>
    <mergeCell ref="B363:C363"/>
    <mergeCell ref="D363:E363"/>
    <mergeCell ref="F363:G363"/>
    <mergeCell ref="B364:C364"/>
    <mergeCell ref="D364:E364"/>
    <mergeCell ref="F364:G364"/>
    <mergeCell ref="A357:G357"/>
    <mergeCell ref="B361:C361"/>
    <mergeCell ref="D361:E361"/>
    <mergeCell ref="F361:G361"/>
    <mergeCell ref="B362:C362"/>
    <mergeCell ref="D362:E362"/>
    <mergeCell ref="F362:G362"/>
    <mergeCell ref="B372:C372"/>
    <mergeCell ref="D372:E372"/>
    <mergeCell ref="F372:G372"/>
    <mergeCell ref="B373:C373"/>
    <mergeCell ref="D373:E373"/>
    <mergeCell ref="F373:G373"/>
    <mergeCell ref="A366:G366"/>
    <mergeCell ref="B370:C370"/>
    <mergeCell ref="D370:E370"/>
    <mergeCell ref="F370:G370"/>
    <mergeCell ref="B371:C371"/>
    <mergeCell ref="D371:E371"/>
    <mergeCell ref="F371:G371"/>
    <mergeCell ref="B381:C381"/>
    <mergeCell ref="D381:E381"/>
    <mergeCell ref="F381:G381"/>
    <mergeCell ref="B382:C382"/>
    <mergeCell ref="D382:E382"/>
    <mergeCell ref="F382:G382"/>
    <mergeCell ref="A375:G375"/>
    <mergeCell ref="B379:C379"/>
    <mergeCell ref="D379:E379"/>
    <mergeCell ref="F379:G379"/>
    <mergeCell ref="B380:C380"/>
    <mergeCell ref="D380:E380"/>
    <mergeCell ref="F380:G380"/>
    <mergeCell ref="B385:C385"/>
    <mergeCell ref="D385:E385"/>
    <mergeCell ref="F385:G385"/>
    <mergeCell ref="B386:C386"/>
    <mergeCell ref="D386:E386"/>
    <mergeCell ref="F386:G386"/>
    <mergeCell ref="B383:C383"/>
    <mergeCell ref="D383:E383"/>
    <mergeCell ref="F383:G383"/>
    <mergeCell ref="B384:C384"/>
    <mergeCell ref="D384:E384"/>
    <mergeCell ref="F384:G384"/>
    <mergeCell ref="B389:C389"/>
    <mergeCell ref="D389:E389"/>
    <mergeCell ref="F389:G389"/>
    <mergeCell ref="B390:C390"/>
    <mergeCell ref="D390:E390"/>
    <mergeCell ref="F390:G390"/>
    <mergeCell ref="B387:C387"/>
    <mergeCell ref="D387:E387"/>
    <mergeCell ref="F387:G387"/>
    <mergeCell ref="B388:C388"/>
    <mergeCell ref="D388:E388"/>
    <mergeCell ref="F388:G388"/>
    <mergeCell ref="B393:C393"/>
    <mergeCell ref="D393:E393"/>
    <mergeCell ref="F393:G393"/>
    <mergeCell ref="B394:C394"/>
    <mergeCell ref="D394:E394"/>
    <mergeCell ref="F394:G394"/>
    <mergeCell ref="B391:C391"/>
    <mergeCell ref="D391:E391"/>
    <mergeCell ref="F391:G391"/>
    <mergeCell ref="B392:C392"/>
    <mergeCell ref="D392:E392"/>
    <mergeCell ref="F392:G392"/>
    <mergeCell ref="A406:B406"/>
    <mergeCell ref="C401:D401"/>
    <mergeCell ref="F401:G401"/>
    <mergeCell ref="C403:D403"/>
    <mergeCell ref="F403:G403"/>
    <mergeCell ref="C404:D404"/>
    <mergeCell ref="F404:G404"/>
    <mergeCell ref="C397:D397"/>
    <mergeCell ref="F397:G397"/>
    <mergeCell ref="C398:D398"/>
    <mergeCell ref="F398:G398"/>
    <mergeCell ref="C400:D400"/>
    <mergeCell ref="F400:G400"/>
  </mergeCells>
  <pageMargins left="1.3779527559055118" right="0.39370078740157483" top="0.98425196850393704" bottom="0.78740157480314965" header="0.31496062992125984" footer="0.31496062992125984"/>
  <pageSetup paperSize="9" scale="46" orientation="portrait" r:id="rId1"/>
  <rowBreaks count="8" manualBreakCount="8">
    <brk id="32" max="16383" man="1"/>
    <brk id="84" max="16383" man="1"/>
    <brk id="133" max="16383" man="1"/>
    <brk id="171" max="16383" man="1"/>
    <brk id="209" max="16383" man="1"/>
    <brk id="258" max="16383" man="1"/>
    <brk id="299" max="16383" man="1"/>
    <brk id="34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07"/>
  <sheetViews>
    <sheetView view="pageBreakPreview" topLeftCell="A46" zoomScale="60" zoomScaleNormal="100" workbookViewId="0">
      <selection activeCell="C63" sqref="C63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9" width="16.7109375" style="7" customWidth="1"/>
    <col min="10" max="11" width="8.85546875" style="7"/>
    <col min="12" max="12" width="12.28515625" style="7" bestFit="1" customWidth="1"/>
    <col min="13" max="14" width="8.85546875" style="7"/>
    <col min="15" max="15" width="12.28515625" style="7" bestFit="1" customWidth="1"/>
    <col min="16" max="16384" width="8.85546875" style="7"/>
  </cols>
  <sheetData>
    <row r="1" spans="1:9" ht="18.75" x14ac:dyDescent="0.25">
      <c r="A1" s="237" t="s">
        <v>266</v>
      </c>
      <c r="B1" s="237"/>
      <c r="C1" s="237"/>
      <c r="D1" s="237"/>
      <c r="E1" s="237"/>
      <c r="F1" s="237"/>
      <c r="G1" s="237"/>
      <c r="H1" s="237"/>
      <c r="I1" s="237"/>
    </row>
    <row r="2" spans="1:9" ht="18.75" x14ac:dyDescent="0.25">
      <c r="A2" s="237" t="s">
        <v>75</v>
      </c>
      <c r="B2" s="237"/>
      <c r="C2" s="237"/>
      <c r="D2" s="237"/>
      <c r="E2" s="237"/>
      <c r="F2" s="237"/>
      <c r="G2" s="237"/>
      <c r="H2" s="237"/>
      <c r="I2" s="237"/>
    </row>
    <row r="3" spans="1:9" x14ac:dyDescent="0.25">
      <c r="A3" s="30"/>
    </row>
    <row r="4" spans="1:9" ht="19.5" thickBot="1" x14ac:dyDescent="0.3">
      <c r="A4" s="6"/>
      <c r="F4" s="6"/>
      <c r="I4" s="6" t="s">
        <v>51</v>
      </c>
    </row>
    <row r="5" spans="1:9" ht="18.600000000000001" customHeight="1" x14ac:dyDescent="0.25">
      <c r="A5" s="229" t="s">
        <v>0</v>
      </c>
      <c r="B5" s="231" t="s">
        <v>45</v>
      </c>
      <c r="C5" s="233" t="s">
        <v>46</v>
      </c>
      <c r="D5" s="231" t="s">
        <v>1</v>
      </c>
      <c r="E5" s="231" t="s">
        <v>73</v>
      </c>
      <c r="F5" s="231"/>
      <c r="G5" s="231" t="s">
        <v>1</v>
      </c>
      <c r="H5" s="231" t="s">
        <v>73</v>
      </c>
      <c r="I5" s="241"/>
    </row>
    <row r="6" spans="1:9" ht="126.75" thickBot="1" x14ac:dyDescent="0.3">
      <c r="A6" s="230"/>
      <c r="B6" s="232"/>
      <c r="C6" s="234"/>
      <c r="D6" s="232"/>
      <c r="E6" s="117" t="s">
        <v>3</v>
      </c>
      <c r="F6" s="117" t="s">
        <v>4</v>
      </c>
      <c r="G6" s="232"/>
      <c r="H6" s="117" t="s">
        <v>3</v>
      </c>
      <c r="I6" s="38" t="s">
        <v>4</v>
      </c>
    </row>
    <row r="7" spans="1:9" ht="19.5" thickBot="1" x14ac:dyDescent="0.3">
      <c r="A7" s="87">
        <v>1</v>
      </c>
      <c r="B7" s="88">
        <v>2</v>
      </c>
      <c r="C7" s="88">
        <v>3</v>
      </c>
      <c r="D7" s="88">
        <v>4</v>
      </c>
      <c r="E7" s="88">
        <v>5</v>
      </c>
      <c r="F7" s="88">
        <v>6</v>
      </c>
      <c r="G7" s="88">
        <v>7</v>
      </c>
      <c r="H7" s="88">
        <v>8</v>
      </c>
      <c r="I7" s="89">
        <v>9</v>
      </c>
    </row>
    <row r="8" spans="1:9" ht="56.25" x14ac:dyDescent="0.25">
      <c r="A8" s="39" t="s">
        <v>47</v>
      </c>
      <c r="B8" s="40" t="s">
        <v>5</v>
      </c>
      <c r="C8" s="40" t="s">
        <v>5</v>
      </c>
      <c r="D8" s="41">
        <f>E8+F8</f>
        <v>0</v>
      </c>
      <c r="E8" s="41"/>
      <c r="F8" s="41"/>
      <c r="G8" s="41">
        <f>H8+I8</f>
        <v>0</v>
      </c>
      <c r="H8" s="41"/>
      <c r="I8" s="42"/>
    </row>
    <row r="9" spans="1:9" ht="56.25" x14ac:dyDescent="0.25">
      <c r="A9" s="115" t="s">
        <v>48</v>
      </c>
      <c r="B9" s="119" t="s">
        <v>5</v>
      </c>
      <c r="C9" s="119" t="s">
        <v>5</v>
      </c>
      <c r="D9" s="5">
        <f t="shared" ref="D9:D74" si="0">E9+F9</f>
        <v>0</v>
      </c>
      <c r="E9" s="5">
        <f>E10+E8-E25+E103</f>
        <v>0</v>
      </c>
      <c r="F9" s="5">
        <f>F10+F8-F25+F103</f>
        <v>0</v>
      </c>
      <c r="G9" s="5">
        <f t="shared" ref="G9" si="1">H9+I9</f>
        <v>0</v>
      </c>
      <c r="H9" s="5">
        <f>H10+H8-H25+H103</f>
        <v>0</v>
      </c>
      <c r="I9" s="31">
        <f>I10+I8-I25+I103</f>
        <v>0</v>
      </c>
    </row>
    <row r="10" spans="1:9" ht="18.75" x14ac:dyDescent="0.25">
      <c r="A10" s="115" t="s">
        <v>49</v>
      </c>
      <c r="B10" s="119" t="s">
        <v>5</v>
      </c>
      <c r="C10" s="119" t="s">
        <v>5</v>
      </c>
      <c r="D10" s="2">
        <f>E10+F10</f>
        <v>0</v>
      </c>
      <c r="E10" s="2">
        <f>E12</f>
        <v>0</v>
      </c>
      <c r="F10" s="2">
        <f>F12</f>
        <v>0</v>
      </c>
      <c r="G10" s="2">
        <f>H10+I10</f>
        <v>0</v>
      </c>
      <c r="H10" s="2">
        <f>H12</f>
        <v>0</v>
      </c>
      <c r="I10" s="4">
        <f>I12</f>
        <v>0</v>
      </c>
    </row>
    <row r="11" spans="1:9" ht="18.75" x14ac:dyDescent="0.25">
      <c r="A11" s="115" t="s">
        <v>6</v>
      </c>
      <c r="B11" s="119"/>
      <c r="C11" s="119"/>
      <c r="D11" s="2"/>
      <c r="E11" s="2"/>
      <c r="F11" s="2"/>
      <c r="G11" s="2"/>
      <c r="H11" s="2"/>
      <c r="I11" s="4"/>
    </row>
    <row r="12" spans="1:9" ht="18.75" x14ac:dyDescent="0.25">
      <c r="A12" s="115" t="s">
        <v>62</v>
      </c>
      <c r="B12" s="119">
        <v>180</v>
      </c>
      <c r="C12" s="119" t="s">
        <v>5</v>
      </c>
      <c r="D12" s="2">
        <f t="shared" si="0"/>
        <v>0</v>
      </c>
      <c r="E12" s="2">
        <f>SUM(E13:E24)</f>
        <v>0</v>
      </c>
      <c r="F12" s="2">
        <f>SUM(F13:F24)</f>
        <v>0</v>
      </c>
      <c r="G12" s="2">
        <f t="shared" ref="G12:G25" si="2">H12+I12</f>
        <v>0</v>
      </c>
      <c r="H12" s="2">
        <f>SUM(H13:H24)</f>
        <v>0</v>
      </c>
      <c r="I12" s="4">
        <f>SUM(I13:I24)</f>
        <v>0</v>
      </c>
    </row>
    <row r="13" spans="1:9" ht="18.75" x14ac:dyDescent="0.25">
      <c r="A13" s="115" t="s">
        <v>6</v>
      </c>
      <c r="B13" s="119"/>
      <c r="C13" s="119"/>
      <c r="D13" s="2">
        <f t="shared" si="0"/>
        <v>0</v>
      </c>
      <c r="E13" s="2"/>
      <c r="F13" s="2"/>
      <c r="G13" s="2">
        <f t="shared" si="2"/>
        <v>0</v>
      </c>
      <c r="H13" s="2"/>
      <c r="I13" s="4"/>
    </row>
    <row r="14" spans="1:9" ht="18.75" x14ac:dyDescent="0.25">
      <c r="A14" s="115"/>
      <c r="B14" s="119"/>
      <c r="C14" s="119"/>
      <c r="D14" s="2">
        <f t="shared" si="0"/>
        <v>0</v>
      </c>
      <c r="E14" s="2"/>
      <c r="F14" s="2"/>
      <c r="G14" s="2">
        <f t="shared" si="2"/>
        <v>0</v>
      </c>
      <c r="H14" s="2"/>
      <c r="I14" s="4"/>
    </row>
    <row r="15" spans="1:9" ht="18.75" x14ac:dyDescent="0.25">
      <c r="A15" s="115"/>
      <c r="B15" s="119"/>
      <c r="C15" s="119"/>
      <c r="D15" s="2">
        <f t="shared" si="0"/>
        <v>0</v>
      </c>
      <c r="E15" s="2"/>
      <c r="F15" s="2"/>
      <c r="G15" s="2">
        <f t="shared" si="2"/>
        <v>0</v>
      </c>
      <c r="H15" s="2"/>
      <c r="I15" s="4"/>
    </row>
    <row r="16" spans="1:9" ht="18.75" x14ac:dyDescent="0.25">
      <c r="A16" s="115"/>
      <c r="B16" s="119"/>
      <c r="C16" s="119"/>
      <c r="D16" s="2">
        <f t="shared" si="0"/>
        <v>0</v>
      </c>
      <c r="E16" s="2"/>
      <c r="F16" s="2"/>
      <c r="G16" s="2">
        <f t="shared" si="2"/>
        <v>0</v>
      </c>
      <c r="H16" s="2"/>
      <c r="I16" s="4"/>
    </row>
    <row r="17" spans="1:9" ht="18.75" x14ac:dyDescent="0.25">
      <c r="A17" s="115"/>
      <c r="B17" s="119"/>
      <c r="C17" s="119"/>
      <c r="D17" s="2">
        <f t="shared" si="0"/>
        <v>0</v>
      </c>
      <c r="E17" s="2"/>
      <c r="F17" s="2"/>
      <c r="G17" s="2">
        <f t="shared" si="2"/>
        <v>0</v>
      </c>
      <c r="H17" s="2"/>
      <c r="I17" s="4"/>
    </row>
    <row r="18" spans="1:9" ht="18.75" x14ac:dyDescent="0.25">
      <c r="A18" s="115"/>
      <c r="B18" s="119"/>
      <c r="C18" s="119"/>
      <c r="D18" s="2">
        <f t="shared" si="0"/>
        <v>0</v>
      </c>
      <c r="E18" s="2"/>
      <c r="F18" s="2"/>
      <c r="G18" s="2">
        <f t="shared" si="2"/>
        <v>0</v>
      </c>
      <c r="H18" s="2"/>
      <c r="I18" s="4"/>
    </row>
    <row r="19" spans="1:9" ht="18.75" x14ac:dyDescent="0.25">
      <c r="A19" s="115"/>
      <c r="B19" s="119"/>
      <c r="C19" s="119"/>
      <c r="D19" s="2">
        <f t="shared" si="0"/>
        <v>0</v>
      </c>
      <c r="E19" s="2"/>
      <c r="F19" s="2"/>
      <c r="G19" s="2">
        <f t="shared" si="2"/>
        <v>0</v>
      </c>
      <c r="H19" s="2"/>
      <c r="I19" s="4"/>
    </row>
    <row r="20" spans="1:9" ht="18.75" x14ac:dyDescent="0.25">
      <c r="A20" s="115"/>
      <c r="B20" s="119"/>
      <c r="C20" s="119"/>
      <c r="D20" s="2">
        <f t="shared" si="0"/>
        <v>0</v>
      </c>
      <c r="E20" s="2"/>
      <c r="F20" s="2"/>
      <c r="G20" s="2">
        <f t="shared" si="2"/>
        <v>0</v>
      </c>
      <c r="H20" s="2"/>
      <c r="I20" s="4"/>
    </row>
    <row r="21" spans="1:9" ht="18.75" x14ac:dyDescent="0.25">
      <c r="A21" s="115"/>
      <c r="B21" s="119"/>
      <c r="C21" s="119"/>
      <c r="D21" s="2">
        <f t="shared" si="0"/>
        <v>0</v>
      </c>
      <c r="E21" s="2"/>
      <c r="F21" s="2"/>
      <c r="G21" s="2">
        <f t="shared" si="2"/>
        <v>0</v>
      </c>
      <c r="H21" s="2"/>
      <c r="I21" s="4"/>
    </row>
    <row r="22" spans="1:9" ht="18.75" x14ac:dyDescent="0.25">
      <c r="A22" s="115"/>
      <c r="B22" s="119"/>
      <c r="C22" s="119"/>
      <c r="D22" s="2">
        <f t="shared" si="0"/>
        <v>0</v>
      </c>
      <c r="E22" s="2"/>
      <c r="F22" s="2"/>
      <c r="G22" s="2">
        <f t="shared" si="2"/>
        <v>0</v>
      </c>
      <c r="H22" s="2"/>
      <c r="I22" s="4"/>
    </row>
    <row r="23" spans="1:9" ht="18.75" x14ac:dyDescent="0.25">
      <c r="A23" s="115"/>
      <c r="B23" s="119"/>
      <c r="C23" s="119"/>
      <c r="D23" s="2">
        <f t="shared" si="0"/>
        <v>0</v>
      </c>
      <c r="E23" s="2"/>
      <c r="F23" s="2"/>
      <c r="G23" s="2">
        <f t="shared" si="2"/>
        <v>0</v>
      </c>
      <c r="H23" s="2"/>
      <c r="I23" s="4"/>
    </row>
    <row r="24" spans="1:9" ht="18.75" x14ac:dyDescent="0.25">
      <c r="A24" s="115"/>
      <c r="B24" s="119"/>
      <c r="C24" s="119"/>
      <c r="D24" s="2">
        <f t="shared" si="0"/>
        <v>0</v>
      </c>
      <c r="E24" s="2"/>
      <c r="F24" s="2"/>
      <c r="G24" s="2">
        <f t="shared" si="2"/>
        <v>0</v>
      </c>
      <c r="H24" s="2"/>
      <c r="I24" s="4"/>
    </row>
    <row r="25" spans="1:9" ht="18.75" x14ac:dyDescent="0.25">
      <c r="A25" s="115" t="s">
        <v>7</v>
      </c>
      <c r="B25" s="119" t="s">
        <v>5</v>
      </c>
      <c r="C25" s="119">
        <v>900</v>
      </c>
      <c r="D25" s="5">
        <f t="shared" si="0"/>
        <v>0</v>
      </c>
      <c r="E25" s="2">
        <f>E27+E90</f>
        <v>0</v>
      </c>
      <c r="F25" s="2">
        <f>F27+F90</f>
        <v>0</v>
      </c>
      <c r="G25" s="5">
        <f t="shared" si="2"/>
        <v>0</v>
      </c>
      <c r="H25" s="2">
        <f>H27+H90</f>
        <v>0</v>
      </c>
      <c r="I25" s="4">
        <f>I27+I90</f>
        <v>0</v>
      </c>
    </row>
    <row r="26" spans="1:9" ht="18.75" x14ac:dyDescent="0.25">
      <c r="A26" s="115" t="s">
        <v>6</v>
      </c>
      <c r="B26" s="119"/>
      <c r="C26" s="119"/>
      <c r="D26" s="5"/>
      <c r="E26" s="2"/>
      <c r="F26" s="2"/>
      <c r="G26" s="5"/>
      <c r="H26" s="2"/>
      <c r="I26" s="4"/>
    </row>
    <row r="27" spans="1:9" ht="18.75" x14ac:dyDescent="0.25">
      <c r="A27" s="115" t="s">
        <v>8</v>
      </c>
      <c r="B27" s="119" t="s">
        <v>5</v>
      </c>
      <c r="C27" s="119">
        <v>200</v>
      </c>
      <c r="D27" s="5">
        <f t="shared" si="0"/>
        <v>0</v>
      </c>
      <c r="E27" s="2">
        <f>E29+E37+E61+E69</f>
        <v>0</v>
      </c>
      <c r="F27" s="2">
        <f>F29+F37+F61+F69</f>
        <v>0</v>
      </c>
      <c r="G27" s="5">
        <f t="shared" ref="G27" si="3">H27+I27</f>
        <v>0</v>
      </c>
      <c r="H27" s="2">
        <f>H29+H37+H61+H69</f>
        <v>0</v>
      </c>
      <c r="I27" s="4">
        <f>I29+I37+I61+I69</f>
        <v>0</v>
      </c>
    </row>
    <row r="28" spans="1:9" ht="14.45" customHeight="1" x14ac:dyDescent="0.25">
      <c r="A28" s="115" t="s">
        <v>9</v>
      </c>
      <c r="B28" s="119"/>
      <c r="C28" s="119"/>
      <c r="D28" s="5"/>
      <c r="E28" s="2"/>
      <c r="F28" s="2"/>
      <c r="G28" s="5"/>
      <c r="H28" s="2"/>
      <c r="I28" s="4"/>
    </row>
    <row r="29" spans="1:9" ht="75" x14ac:dyDescent="0.25">
      <c r="A29" s="115" t="s">
        <v>10</v>
      </c>
      <c r="B29" s="119" t="s">
        <v>5</v>
      </c>
      <c r="C29" s="119">
        <v>210</v>
      </c>
      <c r="D29" s="5">
        <f t="shared" si="0"/>
        <v>0</v>
      </c>
      <c r="E29" s="2">
        <f>E31+E32+E33+E34</f>
        <v>0</v>
      </c>
      <c r="F29" s="2">
        <f>F31+F32+F33+F34</f>
        <v>0</v>
      </c>
      <c r="G29" s="5">
        <f t="shared" ref="G29" si="4">H29+I29</f>
        <v>0</v>
      </c>
      <c r="H29" s="2">
        <f>H31+H32+H33+H34</f>
        <v>0</v>
      </c>
      <c r="I29" s="4">
        <f>I31+I32+I33+I34</f>
        <v>0</v>
      </c>
    </row>
    <row r="30" spans="1:9" ht="18.75" x14ac:dyDescent="0.25">
      <c r="A30" s="115" t="s">
        <v>9</v>
      </c>
      <c r="B30" s="119"/>
      <c r="C30" s="119"/>
      <c r="D30" s="5"/>
      <c r="E30" s="2"/>
      <c r="F30" s="2"/>
      <c r="G30" s="5"/>
      <c r="H30" s="2"/>
      <c r="I30" s="4"/>
    </row>
    <row r="31" spans="1:9" ht="18.75" x14ac:dyDescent="0.25">
      <c r="A31" s="115" t="s">
        <v>11</v>
      </c>
      <c r="B31" s="119">
        <v>111</v>
      </c>
      <c r="C31" s="119">
        <v>211</v>
      </c>
      <c r="D31" s="5">
        <f t="shared" si="0"/>
        <v>0</v>
      </c>
      <c r="E31" s="2"/>
      <c r="F31" s="2"/>
      <c r="G31" s="5">
        <f t="shared" ref="G31:G33" si="5">H31+I31</f>
        <v>0</v>
      </c>
      <c r="H31" s="2"/>
      <c r="I31" s="4"/>
    </row>
    <row r="32" spans="1:9" ht="75" x14ac:dyDescent="0.25">
      <c r="A32" s="115" t="s">
        <v>12</v>
      </c>
      <c r="B32" s="119">
        <v>112</v>
      </c>
      <c r="C32" s="119">
        <v>212</v>
      </c>
      <c r="D32" s="5">
        <f t="shared" si="0"/>
        <v>0</v>
      </c>
      <c r="E32" s="2"/>
      <c r="F32" s="2"/>
      <c r="G32" s="5">
        <f t="shared" si="5"/>
        <v>0</v>
      </c>
      <c r="H32" s="2"/>
      <c r="I32" s="4"/>
    </row>
    <row r="33" spans="1:9" ht="56.25" x14ac:dyDescent="0.25">
      <c r="A33" s="115" t="s">
        <v>13</v>
      </c>
      <c r="B33" s="119">
        <v>119</v>
      </c>
      <c r="C33" s="119">
        <v>213</v>
      </c>
      <c r="D33" s="5">
        <f t="shared" si="0"/>
        <v>0</v>
      </c>
      <c r="E33" s="2"/>
      <c r="F33" s="2"/>
      <c r="G33" s="5">
        <f t="shared" si="5"/>
        <v>0</v>
      </c>
      <c r="H33" s="2"/>
      <c r="I33" s="4"/>
    </row>
    <row r="34" spans="1:9" ht="93.75" x14ac:dyDescent="0.25">
      <c r="A34" s="115" t="s">
        <v>201</v>
      </c>
      <c r="B34" s="119" t="s">
        <v>5</v>
      </c>
      <c r="C34" s="119">
        <v>214</v>
      </c>
      <c r="D34" s="5">
        <f>E34+F34</f>
        <v>0</v>
      </c>
      <c r="E34" s="2">
        <f>E35+E36</f>
        <v>0</v>
      </c>
      <c r="F34" s="2">
        <f>F35+F36</f>
        <v>0</v>
      </c>
      <c r="G34" s="5">
        <f>H34+I34</f>
        <v>0</v>
      </c>
      <c r="H34" s="2">
        <f>H35+H36</f>
        <v>0</v>
      </c>
      <c r="I34" s="4">
        <f>I35+I36</f>
        <v>0</v>
      </c>
    </row>
    <row r="35" spans="1:9" ht="18.75" x14ac:dyDescent="0.25">
      <c r="A35" s="346" t="s">
        <v>6</v>
      </c>
      <c r="B35" s="119">
        <v>112</v>
      </c>
      <c r="C35" s="119">
        <v>214</v>
      </c>
      <c r="D35" s="5">
        <f t="shared" si="0"/>
        <v>0</v>
      </c>
      <c r="E35" s="2"/>
      <c r="F35" s="2"/>
      <c r="G35" s="5">
        <f t="shared" ref="G35" si="6">H35+I35</f>
        <v>0</v>
      </c>
      <c r="H35" s="2"/>
      <c r="I35" s="4"/>
    </row>
    <row r="36" spans="1:9" ht="25.15" customHeight="1" x14ac:dyDescent="0.25">
      <c r="A36" s="346"/>
      <c r="B36" s="119">
        <v>244</v>
      </c>
      <c r="C36" s="119">
        <v>214</v>
      </c>
      <c r="D36" s="5">
        <v>0</v>
      </c>
      <c r="E36" s="2"/>
      <c r="F36" s="2"/>
      <c r="G36" s="5">
        <v>0</v>
      </c>
      <c r="H36" s="2"/>
      <c r="I36" s="4"/>
    </row>
    <row r="37" spans="1:9" ht="37.5" x14ac:dyDescent="0.25">
      <c r="A37" s="115" t="s">
        <v>14</v>
      </c>
      <c r="B37" s="119" t="s">
        <v>5</v>
      </c>
      <c r="C37" s="119">
        <v>220</v>
      </c>
      <c r="D37" s="5">
        <f t="shared" si="0"/>
        <v>0</v>
      </c>
      <c r="E37" s="2">
        <f>E39+E40+E43+E50+E51+E54+E60</f>
        <v>0</v>
      </c>
      <c r="F37" s="2">
        <f>F39+F40+F43+F50+F51+F54+F60</f>
        <v>0</v>
      </c>
      <c r="G37" s="5">
        <f t="shared" ref="G37" si="7">H37+I37</f>
        <v>0</v>
      </c>
      <c r="H37" s="2">
        <f>H39+H40+H43+H50+H51+H54+H60</f>
        <v>0</v>
      </c>
      <c r="I37" s="4">
        <f>I39+I40+I43+I50+I51+I54+I60</f>
        <v>0</v>
      </c>
    </row>
    <row r="38" spans="1:9" ht="18.75" x14ac:dyDescent="0.25">
      <c r="A38" s="115" t="s">
        <v>9</v>
      </c>
      <c r="B38" s="119"/>
      <c r="C38" s="119"/>
      <c r="D38" s="5"/>
      <c r="E38" s="2"/>
      <c r="F38" s="2"/>
      <c r="G38" s="5"/>
      <c r="H38" s="2"/>
      <c r="I38" s="4"/>
    </row>
    <row r="39" spans="1:9" ht="18.75" x14ac:dyDescent="0.25">
      <c r="A39" s="115" t="s">
        <v>15</v>
      </c>
      <c r="B39" s="119">
        <v>244</v>
      </c>
      <c r="C39" s="119">
        <v>221</v>
      </c>
      <c r="D39" s="5">
        <f t="shared" si="0"/>
        <v>0</v>
      </c>
      <c r="E39" s="2"/>
      <c r="F39" s="2"/>
      <c r="G39" s="5">
        <f t="shared" ref="G39:G43" si="8">H39+I39</f>
        <v>0</v>
      </c>
      <c r="H39" s="2"/>
      <c r="I39" s="4"/>
    </row>
    <row r="40" spans="1:9" ht="37.5" x14ac:dyDescent="0.25">
      <c r="A40" s="115" t="s">
        <v>16</v>
      </c>
      <c r="B40" s="119" t="s">
        <v>5</v>
      </c>
      <c r="C40" s="119">
        <v>222</v>
      </c>
      <c r="D40" s="5">
        <f t="shared" si="0"/>
        <v>0</v>
      </c>
      <c r="E40" s="2">
        <f>E41+E42</f>
        <v>0</v>
      </c>
      <c r="F40" s="2">
        <f>F41+F42</f>
        <v>0</v>
      </c>
      <c r="G40" s="5">
        <f t="shared" si="8"/>
        <v>0</v>
      </c>
      <c r="H40" s="2">
        <f>H41+H42</f>
        <v>0</v>
      </c>
      <c r="I40" s="4">
        <f>I41+I42</f>
        <v>0</v>
      </c>
    </row>
    <row r="41" spans="1:9" ht="22.9" customHeight="1" x14ac:dyDescent="0.25">
      <c r="A41" s="221" t="s">
        <v>6</v>
      </c>
      <c r="B41" s="119">
        <v>112</v>
      </c>
      <c r="C41" s="119">
        <v>222</v>
      </c>
      <c r="D41" s="5">
        <f t="shared" si="0"/>
        <v>0</v>
      </c>
      <c r="E41" s="2"/>
      <c r="F41" s="2"/>
      <c r="G41" s="5">
        <f t="shared" si="8"/>
        <v>0</v>
      </c>
      <c r="H41" s="2"/>
      <c r="I41" s="4"/>
    </row>
    <row r="42" spans="1:9" ht="18.75" x14ac:dyDescent="0.25">
      <c r="A42" s="221"/>
      <c r="B42" s="119">
        <v>244</v>
      </c>
      <c r="C42" s="119">
        <v>222</v>
      </c>
      <c r="D42" s="5">
        <f t="shared" si="0"/>
        <v>0</v>
      </c>
      <c r="E42" s="2"/>
      <c r="F42" s="2"/>
      <c r="G42" s="5">
        <f t="shared" si="8"/>
        <v>0</v>
      </c>
      <c r="H42" s="2"/>
      <c r="I42" s="4"/>
    </row>
    <row r="43" spans="1:9" ht="37.5" x14ac:dyDescent="0.25">
      <c r="A43" s="115" t="s">
        <v>17</v>
      </c>
      <c r="B43" s="119" t="s">
        <v>5</v>
      </c>
      <c r="C43" s="119">
        <v>223</v>
      </c>
      <c r="D43" s="5">
        <f t="shared" si="0"/>
        <v>0</v>
      </c>
      <c r="E43" s="2">
        <f t="shared" ref="E43:F43" si="9">E45+E46+E47+E48+E49</f>
        <v>0</v>
      </c>
      <c r="F43" s="2">
        <f t="shared" si="9"/>
        <v>0</v>
      </c>
      <c r="G43" s="5">
        <f t="shared" si="8"/>
        <v>0</v>
      </c>
      <c r="H43" s="2">
        <f t="shared" ref="H43:I43" si="10">H45+H46+H47+H48+H49</f>
        <v>0</v>
      </c>
      <c r="I43" s="4">
        <f t="shared" si="10"/>
        <v>0</v>
      </c>
    </row>
    <row r="44" spans="1:9" ht="18.75" x14ac:dyDescent="0.25">
      <c r="A44" s="115" t="s">
        <v>6</v>
      </c>
      <c r="B44" s="119"/>
      <c r="C44" s="119"/>
      <c r="D44" s="5"/>
      <c r="E44" s="2"/>
      <c r="F44" s="2"/>
      <c r="G44" s="5"/>
      <c r="H44" s="2"/>
      <c r="I44" s="4"/>
    </row>
    <row r="45" spans="1:9" ht="56.25" x14ac:dyDescent="0.25">
      <c r="A45" s="115" t="s">
        <v>18</v>
      </c>
      <c r="B45" s="119">
        <v>244</v>
      </c>
      <c r="C45" s="119">
        <v>223</v>
      </c>
      <c r="D45" s="5">
        <f t="shared" si="0"/>
        <v>0</v>
      </c>
      <c r="E45" s="2"/>
      <c r="F45" s="2"/>
      <c r="G45" s="5">
        <f t="shared" ref="G45:G50" si="11">H45+I45</f>
        <v>0</v>
      </c>
      <c r="H45" s="2"/>
      <c r="I45" s="4"/>
    </row>
    <row r="46" spans="1:9" ht="37.5" x14ac:dyDescent="0.25">
      <c r="A46" s="115" t="s">
        <v>19</v>
      </c>
      <c r="B46" s="119">
        <v>244</v>
      </c>
      <c r="C46" s="119">
        <v>223</v>
      </c>
      <c r="D46" s="5">
        <f t="shared" si="0"/>
        <v>0</v>
      </c>
      <c r="E46" s="2"/>
      <c r="F46" s="2"/>
      <c r="G46" s="5">
        <f t="shared" si="11"/>
        <v>0</v>
      </c>
      <c r="H46" s="2"/>
      <c r="I46" s="4"/>
    </row>
    <row r="47" spans="1:9" ht="75" x14ac:dyDescent="0.25">
      <c r="A47" s="115" t="s">
        <v>20</v>
      </c>
      <c r="B47" s="119">
        <v>244</v>
      </c>
      <c r="C47" s="119">
        <v>223</v>
      </c>
      <c r="D47" s="5">
        <f t="shared" si="0"/>
        <v>0</v>
      </c>
      <c r="E47" s="2"/>
      <c r="F47" s="2"/>
      <c r="G47" s="5">
        <f t="shared" si="11"/>
        <v>0</v>
      </c>
      <c r="H47" s="2"/>
      <c r="I47" s="4"/>
    </row>
    <row r="48" spans="1:9" ht="75" x14ac:dyDescent="0.25">
      <c r="A48" s="115" t="s">
        <v>21</v>
      </c>
      <c r="B48" s="119">
        <v>244</v>
      </c>
      <c r="C48" s="119">
        <v>223</v>
      </c>
      <c r="D48" s="5">
        <f t="shared" si="0"/>
        <v>0</v>
      </c>
      <c r="E48" s="2"/>
      <c r="F48" s="2"/>
      <c r="G48" s="5">
        <f t="shared" si="11"/>
        <v>0</v>
      </c>
      <c r="H48" s="2"/>
      <c r="I48" s="4"/>
    </row>
    <row r="49" spans="1:9" ht="56.25" x14ac:dyDescent="0.25">
      <c r="A49" s="115" t="s">
        <v>22</v>
      </c>
      <c r="B49" s="119">
        <v>244</v>
      </c>
      <c r="C49" s="119">
        <v>223</v>
      </c>
      <c r="D49" s="5">
        <f t="shared" si="0"/>
        <v>0</v>
      </c>
      <c r="E49" s="2"/>
      <c r="F49" s="2"/>
      <c r="G49" s="5">
        <f t="shared" si="11"/>
        <v>0</v>
      </c>
      <c r="H49" s="2"/>
      <c r="I49" s="4"/>
    </row>
    <row r="50" spans="1:9" ht="168.75" x14ac:dyDescent="0.25">
      <c r="A50" s="115" t="s">
        <v>23</v>
      </c>
      <c r="B50" s="119">
        <v>244</v>
      </c>
      <c r="C50" s="119">
        <v>224</v>
      </c>
      <c r="D50" s="5">
        <f t="shared" si="0"/>
        <v>0</v>
      </c>
      <c r="E50" s="2"/>
      <c r="F50" s="2"/>
      <c r="G50" s="5">
        <f t="shared" si="11"/>
        <v>0</v>
      </c>
      <c r="H50" s="2"/>
      <c r="I50" s="4"/>
    </row>
    <row r="51" spans="1:9" ht="56.25" x14ac:dyDescent="0.25">
      <c r="A51" s="115" t="s">
        <v>24</v>
      </c>
      <c r="B51" s="119" t="s">
        <v>5</v>
      </c>
      <c r="C51" s="119">
        <v>225</v>
      </c>
      <c r="D51" s="2">
        <f t="shared" ref="D51:F51" si="12">D52+D53</f>
        <v>0</v>
      </c>
      <c r="E51" s="2">
        <f>E52+E53</f>
        <v>0</v>
      </c>
      <c r="F51" s="2">
        <f t="shared" si="12"/>
        <v>0</v>
      </c>
      <c r="G51" s="2">
        <f t="shared" ref="G51" si="13">G52+G53</f>
        <v>0</v>
      </c>
      <c r="H51" s="2">
        <f>H52+H53</f>
        <v>0</v>
      </c>
      <c r="I51" s="4">
        <f t="shared" ref="I51" si="14">I52+I53</f>
        <v>0</v>
      </c>
    </row>
    <row r="52" spans="1:9" ht="18.75" x14ac:dyDescent="0.25">
      <c r="A52" s="221" t="s">
        <v>6</v>
      </c>
      <c r="B52" s="119">
        <v>243</v>
      </c>
      <c r="C52" s="119">
        <v>225</v>
      </c>
      <c r="D52" s="5">
        <f t="shared" si="0"/>
        <v>0</v>
      </c>
      <c r="E52" s="2"/>
      <c r="F52" s="2"/>
      <c r="G52" s="5">
        <f t="shared" ref="G52:G90" si="15">H52+I52</f>
        <v>0</v>
      </c>
      <c r="H52" s="2"/>
      <c r="I52" s="4"/>
    </row>
    <row r="53" spans="1:9" ht="18.75" x14ac:dyDescent="0.25">
      <c r="A53" s="221"/>
      <c r="B53" s="119">
        <v>244</v>
      </c>
      <c r="C53" s="119">
        <v>225</v>
      </c>
      <c r="D53" s="5">
        <f t="shared" si="0"/>
        <v>0</v>
      </c>
      <c r="E53" s="2"/>
      <c r="F53" s="2"/>
      <c r="G53" s="5">
        <f t="shared" si="15"/>
        <v>0</v>
      </c>
      <c r="H53" s="2"/>
      <c r="I53" s="4"/>
    </row>
    <row r="54" spans="1:9" ht="37.5" x14ac:dyDescent="0.25">
      <c r="A54" s="115" t="s">
        <v>58</v>
      </c>
      <c r="B54" s="119" t="s">
        <v>5</v>
      </c>
      <c r="C54" s="119">
        <v>226</v>
      </c>
      <c r="D54" s="5">
        <f t="shared" si="0"/>
        <v>0</v>
      </c>
      <c r="E54" s="2">
        <f>E55+E56+E58+E59+E57</f>
        <v>0</v>
      </c>
      <c r="F54" s="2">
        <f>F55+F56+F58+F59+F57</f>
        <v>0</v>
      </c>
      <c r="G54" s="5">
        <f t="shared" si="15"/>
        <v>0</v>
      </c>
      <c r="H54" s="2">
        <f>H55+H56+H58+H59+H57</f>
        <v>0</v>
      </c>
      <c r="I54" s="4">
        <f>I55+I56+I58+I59+I57</f>
        <v>0</v>
      </c>
    </row>
    <row r="55" spans="1:9" ht="18.75" x14ac:dyDescent="0.25">
      <c r="A55" s="221" t="s">
        <v>6</v>
      </c>
      <c r="B55" s="119">
        <v>112</v>
      </c>
      <c r="C55" s="119">
        <v>226</v>
      </c>
      <c r="D55" s="5">
        <f t="shared" si="0"/>
        <v>0</v>
      </c>
      <c r="E55" s="2"/>
      <c r="F55" s="2"/>
      <c r="G55" s="5">
        <f t="shared" si="15"/>
        <v>0</v>
      </c>
      <c r="H55" s="2"/>
      <c r="I55" s="4"/>
    </row>
    <row r="56" spans="1:9" ht="18.75" x14ac:dyDescent="0.25">
      <c r="A56" s="221"/>
      <c r="B56" s="119">
        <v>113</v>
      </c>
      <c r="C56" s="119">
        <v>226</v>
      </c>
      <c r="D56" s="5">
        <f t="shared" si="0"/>
        <v>0</v>
      </c>
      <c r="E56" s="2"/>
      <c r="F56" s="2"/>
      <c r="G56" s="5">
        <f t="shared" si="15"/>
        <v>0</v>
      </c>
      <c r="H56" s="2"/>
      <c r="I56" s="4"/>
    </row>
    <row r="57" spans="1:9" ht="18.75" x14ac:dyDescent="0.25">
      <c r="A57" s="221"/>
      <c r="B57" s="119">
        <v>119</v>
      </c>
      <c r="C57" s="119">
        <v>226</v>
      </c>
      <c r="D57" s="5">
        <f t="shared" si="0"/>
        <v>0</v>
      </c>
      <c r="E57" s="2"/>
      <c r="F57" s="2"/>
      <c r="G57" s="5">
        <f t="shared" si="15"/>
        <v>0</v>
      </c>
      <c r="H57" s="2"/>
      <c r="I57" s="4"/>
    </row>
    <row r="58" spans="1:9" ht="18.75" x14ac:dyDescent="0.25">
      <c r="A58" s="221"/>
      <c r="B58" s="119">
        <v>243</v>
      </c>
      <c r="C58" s="119">
        <v>226</v>
      </c>
      <c r="D58" s="5">
        <f t="shared" si="0"/>
        <v>0</v>
      </c>
      <c r="E58" s="2"/>
      <c r="F58" s="2"/>
      <c r="G58" s="5">
        <f t="shared" si="15"/>
        <v>0</v>
      </c>
      <c r="H58" s="2"/>
      <c r="I58" s="4"/>
    </row>
    <row r="59" spans="1:9" ht="18.75" x14ac:dyDescent="0.25">
      <c r="A59" s="221"/>
      <c r="B59" s="119">
        <v>244</v>
      </c>
      <c r="C59" s="119">
        <v>226</v>
      </c>
      <c r="D59" s="5">
        <f t="shared" si="0"/>
        <v>0</v>
      </c>
      <c r="E59" s="2"/>
      <c r="F59" s="2"/>
      <c r="G59" s="5">
        <f t="shared" si="15"/>
        <v>0</v>
      </c>
      <c r="H59" s="2"/>
      <c r="I59" s="4"/>
    </row>
    <row r="60" spans="1:9" ht="18.75" x14ac:dyDescent="0.25">
      <c r="A60" s="115" t="s">
        <v>25</v>
      </c>
      <c r="B60" s="119">
        <v>244</v>
      </c>
      <c r="C60" s="119">
        <v>227</v>
      </c>
      <c r="D60" s="5">
        <f t="shared" si="0"/>
        <v>0</v>
      </c>
      <c r="E60" s="2"/>
      <c r="F60" s="2"/>
      <c r="G60" s="5">
        <f t="shared" si="15"/>
        <v>0</v>
      </c>
      <c r="H60" s="2"/>
      <c r="I60" s="4"/>
    </row>
    <row r="61" spans="1:9" ht="37.5" x14ac:dyDescent="0.25">
      <c r="A61" s="115" t="s">
        <v>26</v>
      </c>
      <c r="B61" s="119" t="s">
        <v>5</v>
      </c>
      <c r="C61" s="119">
        <v>260</v>
      </c>
      <c r="D61" s="5">
        <f t="shared" si="0"/>
        <v>0</v>
      </c>
      <c r="E61" s="2">
        <f>E63+E64+E68</f>
        <v>0</v>
      </c>
      <c r="F61" s="2">
        <f>F63+F64+F68</f>
        <v>0</v>
      </c>
      <c r="G61" s="5">
        <f t="shared" si="15"/>
        <v>0</v>
      </c>
      <c r="H61" s="2">
        <f>H63+H64+H68</f>
        <v>0</v>
      </c>
      <c r="I61" s="4">
        <f>I63+I64+I68</f>
        <v>0</v>
      </c>
    </row>
    <row r="62" spans="1:9" ht="93.75" x14ac:dyDescent="0.25">
      <c r="A62" s="219" t="s">
        <v>501</v>
      </c>
      <c r="B62" s="220">
        <v>323</v>
      </c>
      <c r="C62" s="220">
        <v>263</v>
      </c>
      <c r="D62" s="5"/>
      <c r="E62" s="2"/>
      <c r="F62" s="2"/>
      <c r="G62" s="5"/>
      <c r="H62" s="2"/>
      <c r="I62" s="4"/>
    </row>
    <row r="63" spans="1:9" ht="112.5" x14ac:dyDescent="0.25">
      <c r="A63" s="115" t="s">
        <v>27</v>
      </c>
      <c r="B63" s="119">
        <v>321</v>
      </c>
      <c r="C63" s="119">
        <v>264</v>
      </c>
      <c r="D63" s="5">
        <f t="shared" si="0"/>
        <v>0</v>
      </c>
      <c r="E63" s="2"/>
      <c r="F63" s="2"/>
      <c r="G63" s="5">
        <f t="shared" si="15"/>
        <v>0</v>
      </c>
      <c r="H63" s="2"/>
      <c r="I63" s="4"/>
    </row>
    <row r="64" spans="1:9" ht="93.75" x14ac:dyDescent="0.25">
      <c r="A64" s="115" t="s">
        <v>28</v>
      </c>
      <c r="B64" s="119" t="s">
        <v>5</v>
      </c>
      <c r="C64" s="119">
        <v>266</v>
      </c>
      <c r="D64" s="5">
        <f t="shared" si="0"/>
        <v>0</v>
      </c>
      <c r="E64" s="2">
        <f t="shared" ref="E64:F64" si="16">E65+E66</f>
        <v>0</v>
      </c>
      <c r="F64" s="2">
        <f t="shared" si="16"/>
        <v>0</v>
      </c>
      <c r="G64" s="5">
        <f t="shared" si="15"/>
        <v>0</v>
      </c>
      <c r="H64" s="2">
        <f t="shared" ref="H64:I64" si="17">H65+H66</f>
        <v>0</v>
      </c>
      <c r="I64" s="4">
        <f t="shared" si="17"/>
        <v>0</v>
      </c>
    </row>
    <row r="65" spans="1:9" ht="18.75" x14ac:dyDescent="0.25">
      <c r="A65" s="221" t="s">
        <v>6</v>
      </c>
      <c r="B65" s="119">
        <v>111</v>
      </c>
      <c r="C65" s="119">
        <v>266</v>
      </c>
      <c r="D65" s="5">
        <f t="shared" si="0"/>
        <v>0</v>
      </c>
      <c r="E65" s="2"/>
      <c r="F65" s="2"/>
      <c r="G65" s="5">
        <f t="shared" si="15"/>
        <v>0</v>
      </c>
      <c r="H65" s="2"/>
      <c r="I65" s="4"/>
    </row>
    <row r="66" spans="1:9" ht="18.75" x14ac:dyDescent="0.25">
      <c r="A66" s="221"/>
      <c r="B66" s="119">
        <v>112</v>
      </c>
      <c r="C66" s="119">
        <v>266</v>
      </c>
      <c r="D66" s="5">
        <f t="shared" si="0"/>
        <v>0</v>
      </c>
      <c r="E66" s="2"/>
      <c r="F66" s="2"/>
      <c r="G66" s="5">
        <f t="shared" si="15"/>
        <v>0</v>
      </c>
      <c r="H66" s="2"/>
      <c r="I66" s="4"/>
    </row>
    <row r="67" spans="1:9" ht="18.75" x14ac:dyDescent="0.25">
      <c r="A67" s="219"/>
      <c r="B67" s="220">
        <v>119</v>
      </c>
      <c r="C67" s="220">
        <v>266</v>
      </c>
      <c r="D67" s="5"/>
      <c r="E67" s="2"/>
      <c r="F67" s="2"/>
      <c r="G67" s="5"/>
      <c r="H67" s="2"/>
      <c r="I67" s="4"/>
    </row>
    <row r="68" spans="1:9" ht="75" x14ac:dyDescent="0.25">
      <c r="A68" s="115" t="s">
        <v>29</v>
      </c>
      <c r="B68" s="119">
        <v>112</v>
      </c>
      <c r="C68" s="119">
        <v>267</v>
      </c>
      <c r="D68" s="5">
        <f t="shared" si="0"/>
        <v>0</v>
      </c>
      <c r="E68" s="2"/>
      <c r="F68" s="2"/>
      <c r="G68" s="5">
        <f t="shared" si="15"/>
        <v>0</v>
      </c>
      <c r="H68" s="2"/>
      <c r="I68" s="4"/>
    </row>
    <row r="69" spans="1:9" ht="18.75" x14ac:dyDescent="0.25">
      <c r="A69" s="115" t="s">
        <v>30</v>
      </c>
      <c r="B69" s="119" t="s">
        <v>5</v>
      </c>
      <c r="C69" s="119">
        <v>290</v>
      </c>
      <c r="D69" s="5">
        <f t="shared" si="0"/>
        <v>0</v>
      </c>
      <c r="E69" s="2">
        <f>E71+E75+E76+E77+E78+E85</f>
        <v>0</v>
      </c>
      <c r="F69" s="2">
        <f>F71+F75+F76+F77+F78+F85</f>
        <v>0</v>
      </c>
      <c r="G69" s="5">
        <f t="shared" si="15"/>
        <v>0</v>
      </c>
      <c r="H69" s="2">
        <f>H71+H75+H76+H77+H78+H85</f>
        <v>0</v>
      </c>
      <c r="I69" s="4">
        <f>I71+I75+I76+I77+I78+I85</f>
        <v>0</v>
      </c>
    </row>
    <row r="70" spans="1:9" ht="18.75" x14ac:dyDescent="0.25">
      <c r="A70" s="115" t="s">
        <v>9</v>
      </c>
      <c r="B70" s="119"/>
      <c r="C70" s="119"/>
      <c r="D70" s="5">
        <f t="shared" si="0"/>
        <v>0</v>
      </c>
      <c r="E70" s="2"/>
      <c r="F70" s="2"/>
      <c r="G70" s="5">
        <f t="shared" si="15"/>
        <v>0</v>
      </c>
      <c r="H70" s="2"/>
      <c r="I70" s="4"/>
    </row>
    <row r="71" spans="1:9" ht="37.5" x14ac:dyDescent="0.25">
      <c r="A71" s="115" t="s">
        <v>31</v>
      </c>
      <c r="B71" s="119" t="s">
        <v>5</v>
      </c>
      <c r="C71" s="119">
        <v>291</v>
      </c>
      <c r="D71" s="5">
        <f t="shared" si="0"/>
        <v>0</v>
      </c>
      <c r="E71" s="2">
        <f t="shared" ref="E71:F71" si="18">E72+E73+E74</f>
        <v>0</v>
      </c>
      <c r="F71" s="2">
        <f t="shared" si="18"/>
        <v>0</v>
      </c>
      <c r="G71" s="5">
        <f t="shared" si="15"/>
        <v>0</v>
      </c>
      <c r="H71" s="2">
        <f t="shared" ref="H71:I71" si="19">H72+H73+H74</f>
        <v>0</v>
      </c>
      <c r="I71" s="4">
        <f t="shared" si="19"/>
        <v>0</v>
      </c>
    </row>
    <row r="72" spans="1:9" ht="18.75" x14ac:dyDescent="0.25">
      <c r="A72" s="221" t="s">
        <v>6</v>
      </c>
      <c r="B72" s="119">
        <v>851</v>
      </c>
      <c r="C72" s="119">
        <v>291</v>
      </c>
      <c r="D72" s="5">
        <f t="shared" si="0"/>
        <v>0</v>
      </c>
      <c r="E72" s="2"/>
      <c r="F72" s="2"/>
      <c r="G72" s="5">
        <f t="shared" si="15"/>
        <v>0</v>
      </c>
      <c r="H72" s="2"/>
      <c r="I72" s="4"/>
    </row>
    <row r="73" spans="1:9" ht="18.75" x14ac:dyDescent="0.25">
      <c r="A73" s="221"/>
      <c r="B73" s="119">
        <v>852</v>
      </c>
      <c r="C73" s="119">
        <v>291</v>
      </c>
      <c r="D73" s="5">
        <f t="shared" si="0"/>
        <v>0</v>
      </c>
      <c r="E73" s="2"/>
      <c r="F73" s="2"/>
      <c r="G73" s="5">
        <f t="shared" si="15"/>
        <v>0</v>
      </c>
      <c r="H73" s="2"/>
      <c r="I73" s="4"/>
    </row>
    <row r="74" spans="1:9" ht="18.75" x14ac:dyDescent="0.25">
      <c r="A74" s="221"/>
      <c r="B74" s="119">
        <v>853</v>
      </c>
      <c r="C74" s="119">
        <v>291</v>
      </c>
      <c r="D74" s="5">
        <f t="shared" si="0"/>
        <v>0</v>
      </c>
      <c r="E74" s="2"/>
      <c r="F74" s="2"/>
      <c r="G74" s="5">
        <f t="shared" si="15"/>
        <v>0</v>
      </c>
      <c r="H74" s="2"/>
      <c r="I74" s="4"/>
    </row>
    <row r="75" spans="1:9" ht="112.5" x14ac:dyDescent="0.25">
      <c r="A75" s="115" t="s">
        <v>32</v>
      </c>
      <c r="B75" s="119">
        <v>853</v>
      </c>
      <c r="C75" s="119">
        <v>292</v>
      </c>
      <c r="D75" s="5">
        <f t="shared" ref="D75:D107" si="20">E75+F75</f>
        <v>0</v>
      </c>
      <c r="E75" s="2"/>
      <c r="F75" s="2">
        <v>0</v>
      </c>
      <c r="G75" s="5">
        <f t="shared" si="15"/>
        <v>0</v>
      </c>
      <c r="H75" s="2"/>
      <c r="I75" s="4">
        <v>0</v>
      </c>
    </row>
    <row r="76" spans="1:9" ht="131.25" x14ac:dyDescent="0.25">
      <c r="A76" s="115" t="s">
        <v>33</v>
      </c>
      <c r="B76" s="119">
        <v>853</v>
      </c>
      <c r="C76" s="119">
        <v>293</v>
      </c>
      <c r="D76" s="5">
        <f t="shared" si="20"/>
        <v>0</v>
      </c>
      <c r="E76" s="2"/>
      <c r="F76" s="2">
        <v>0</v>
      </c>
      <c r="G76" s="5">
        <f t="shared" si="15"/>
        <v>0</v>
      </c>
      <c r="H76" s="2"/>
      <c r="I76" s="4">
        <v>0</v>
      </c>
    </row>
    <row r="77" spans="1:9" ht="56.25" x14ac:dyDescent="0.25">
      <c r="A77" s="115" t="s">
        <v>158</v>
      </c>
      <c r="B77" s="119">
        <v>853</v>
      </c>
      <c r="C77" s="119">
        <v>295</v>
      </c>
      <c r="D77" s="5">
        <f t="shared" si="20"/>
        <v>0</v>
      </c>
      <c r="E77" s="2"/>
      <c r="F77" s="2">
        <v>0</v>
      </c>
      <c r="G77" s="5">
        <f t="shared" si="15"/>
        <v>0</v>
      </c>
      <c r="H77" s="2"/>
      <c r="I77" s="4">
        <v>0</v>
      </c>
    </row>
    <row r="78" spans="1:9" ht="56.25" x14ac:dyDescent="0.25">
      <c r="A78" s="115" t="s">
        <v>34</v>
      </c>
      <c r="B78" s="119" t="s">
        <v>5</v>
      </c>
      <c r="C78" s="119">
        <v>296</v>
      </c>
      <c r="D78" s="5">
        <f t="shared" si="20"/>
        <v>0</v>
      </c>
      <c r="E78" s="2">
        <f t="shared" ref="E78:F78" si="21">E79+E80+E81+E82+E84</f>
        <v>0</v>
      </c>
      <c r="F78" s="2">
        <f t="shared" si="21"/>
        <v>0</v>
      </c>
      <c r="G78" s="5">
        <f t="shared" si="15"/>
        <v>0</v>
      </c>
      <c r="H78" s="2">
        <f t="shared" ref="H78:I78" si="22">H79+H80+H81+H82+H84</f>
        <v>0</v>
      </c>
      <c r="I78" s="4">
        <f t="shared" si="22"/>
        <v>0</v>
      </c>
    </row>
    <row r="79" spans="1:9" ht="18.75" x14ac:dyDescent="0.25">
      <c r="A79" s="221" t="s">
        <v>6</v>
      </c>
      <c r="B79" s="119">
        <v>244</v>
      </c>
      <c r="C79" s="119">
        <v>296</v>
      </c>
      <c r="D79" s="5">
        <f t="shared" si="20"/>
        <v>0</v>
      </c>
      <c r="E79" s="2"/>
      <c r="F79" s="2"/>
      <c r="G79" s="5">
        <f t="shared" si="15"/>
        <v>0</v>
      </c>
      <c r="H79" s="2"/>
      <c r="I79" s="4"/>
    </row>
    <row r="80" spans="1:9" ht="18.75" x14ac:dyDescent="0.25">
      <c r="A80" s="221"/>
      <c r="B80" s="119">
        <v>340</v>
      </c>
      <c r="C80" s="119">
        <v>296</v>
      </c>
      <c r="D80" s="5">
        <f t="shared" si="20"/>
        <v>0</v>
      </c>
      <c r="E80" s="2"/>
      <c r="F80" s="2"/>
      <c r="G80" s="5">
        <f t="shared" si="15"/>
        <v>0</v>
      </c>
      <c r="H80" s="2"/>
      <c r="I80" s="4"/>
    </row>
    <row r="81" spans="1:9" ht="18.75" x14ac:dyDescent="0.25">
      <c r="A81" s="221"/>
      <c r="B81" s="119">
        <v>350</v>
      </c>
      <c r="C81" s="119">
        <v>296</v>
      </c>
      <c r="D81" s="5">
        <f t="shared" si="20"/>
        <v>0</v>
      </c>
      <c r="E81" s="2"/>
      <c r="F81" s="2"/>
      <c r="G81" s="5">
        <f t="shared" si="15"/>
        <v>0</v>
      </c>
      <c r="H81" s="2"/>
      <c r="I81" s="4"/>
    </row>
    <row r="82" spans="1:9" ht="18.75" x14ac:dyDescent="0.25">
      <c r="A82" s="221"/>
      <c r="B82" s="119">
        <v>360</v>
      </c>
      <c r="C82" s="119">
        <v>296</v>
      </c>
      <c r="D82" s="5">
        <f t="shared" si="20"/>
        <v>0</v>
      </c>
      <c r="E82" s="2"/>
      <c r="F82" s="2"/>
      <c r="G82" s="5">
        <f t="shared" si="15"/>
        <v>0</v>
      </c>
      <c r="H82" s="2"/>
      <c r="I82" s="4"/>
    </row>
    <row r="83" spans="1:9" ht="18.75" x14ac:dyDescent="0.25">
      <c r="A83" s="221"/>
      <c r="B83" s="215">
        <v>831</v>
      </c>
      <c r="C83" s="215">
        <v>296</v>
      </c>
      <c r="D83" s="5">
        <f t="shared" ref="D83" si="23">E83+F83</f>
        <v>0</v>
      </c>
      <c r="E83" s="2"/>
      <c r="F83" s="2"/>
      <c r="G83" s="5">
        <f t="shared" ref="G83" si="24">H83+I83</f>
        <v>0</v>
      </c>
      <c r="H83" s="2"/>
      <c r="I83" s="4"/>
    </row>
    <row r="84" spans="1:9" ht="18.75" x14ac:dyDescent="0.25">
      <c r="A84" s="221"/>
      <c r="B84" s="119">
        <v>853</v>
      </c>
      <c r="C84" s="119">
        <v>296</v>
      </c>
      <c r="D84" s="5">
        <f t="shared" si="20"/>
        <v>0</v>
      </c>
      <c r="E84" s="2"/>
      <c r="F84" s="2"/>
      <c r="G84" s="5">
        <f t="shared" si="15"/>
        <v>0</v>
      </c>
      <c r="H84" s="2"/>
      <c r="I84" s="4"/>
    </row>
    <row r="85" spans="1:9" ht="62.45" customHeight="1" x14ac:dyDescent="0.25">
      <c r="A85" s="115" t="s">
        <v>35</v>
      </c>
      <c r="B85" s="119" t="s">
        <v>5</v>
      </c>
      <c r="C85" s="119">
        <v>297</v>
      </c>
      <c r="D85" s="5">
        <f t="shared" si="20"/>
        <v>0</v>
      </c>
      <c r="E85" s="2">
        <f>E86+E89</f>
        <v>0</v>
      </c>
      <c r="F85" s="2">
        <f>F86+F89</f>
        <v>0</v>
      </c>
      <c r="G85" s="5">
        <f t="shared" si="15"/>
        <v>0</v>
      </c>
      <c r="H85" s="2">
        <f>H86+H89</f>
        <v>0</v>
      </c>
      <c r="I85" s="4">
        <f>I86+I89</f>
        <v>0</v>
      </c>
    </row>
    <row r="86" spans="1:9" ht="18.75" x14ac:dyDescent="0.25">
      <c r="A86" s="221" t="s">
        <v>6</v>
      </c>
      <c r="B86" s="119">
        <v>244</v>
      </c>
      <c r="C86" s="119">
        <v>297</v>
      </c>
      <c r="D86" s="5">
        <f t="shared" si="20"/>
        <v>0</v>
      </c>
      <c r="E86" s="2"/>
      <c r="F86" s="2"/>
      <c r="G86" s="5">
        <f t="shared" si="15"/>
        <v>0</v>
      </c>
      <c r="H86" s="2"/>
      <c r="I86" s="4"/>
    </row>
    <row r="87" spans="1:9" ht="18.75" x14ac:dyDescent="0.25">
      <c r="A87" s="221"/>
      <c r="B87" s="217">
        <v>613</v>
      </c>
      <c r="C87" s="217">
        <v>297</v>
      </c>
      <c r="D87" s="5"/>
      <c r="E87" s="2"/>
      <c r="F87" s="2"/>
      <c r="G87" s="5"/>
      <c r="H87" s="2"/>
      <c r="I87" s="4"/>
    </row>
    <row r="88" spans="1:9" ht="18.75" x14ac:dyDescent="0.25">
      <c r="A88" s="221"/>
      <c r="B88" s="217">
        <v>831</v>
      </c>
      <c r="C88" s="217">
        <v>297</v>
      </c>
      <c r="D88" s="5"/>
      <c r="E88" s="2"/>
      <c r="F88" s="2"/>
      <c r="G88" s="5"/>
      <c r="H88" s="2"/>
      <c r="I88" s="4"/>
    </row>
    <row r="89" spans="1:9" ht="18.75" x14ac:dyDescent="0.25">
      <c r="A89" s="221"/>
      <c r="B89" s="119">
        <v>853</v>
      </c>
      <c r="C89" s="119">
        <v>297</v>
      </c>
      <c r="D89" s="5">
        <f t="shared" si="20"/>
        <v>0</v>
      </c>
      <c r="E89" s="2"/>
      <c r="F89" s="2"/>
      <c r="G89" s="5">
        <f t="shared" si="15"/>
        <v>0</v>
      </c>
      <c r="H89" s="2"/>
      <c r="I89" s="4"/>
    </row>
    <row r="90" spans="1:9" ht="56.25" x14ac:dyDescent="0.25">
      <c r="A90" s="115" t="s">
        <v>59</v>
      </c>
      <c r="B90" s="119" t="s">
        <v>5</v>
      </c>
      <c r="C90" s="119">
        <v>300</v>
      </c>
      <c r="D90" s="5">
        <f t="shared" si="20"/>
        <v>0</v>
      </c>
      <c r="E90" s="2">
        <f>E92+E94+E93</f>
        <v>0</v>
      </c>
      <c r="F90" s="2">
        <f>F92+F94+F93</f>
        <v>0</v>
      </c>
      <c r="G90" s="5">
        <f t="shared" si="15"/>
        <v>0</v>
      </c>
      <c r="H90" s="2">
        <f>H92+H94+H93</f>
        <v>0</v>
      </c>
      <c r="I90" s="4">
        <f>I92+I94+I93</f>
        <v>0</v>
      </c>
    </row>
    <row r="91" spans="1:9" ht="18.75" x14ac:dyDescent="0.25">
      <c r="A91" s="115" t="s">
        <v>9</v>
      </c>
      <c r="B91" s="119"/>
      <c r="C91" s="119"/>
      <c r="D91" s="5"/>
      <c r="E91" s="2"/>
      <c r="F91" s="2"/>
      <c r="G91" s="5"/>
      <c r="H91" s="2"/>
      <c r="I91" s="4"/>
    </row>
    <row r="92" spans="1:9" ht="56.25" x14ac:dyDescent="0.25">
      <c r="A92" s="115" t="s">
        <v>36</v>
      </c>
      <c r="B92" s="119">
        <v>244</v>
      </c>
      <c r="C92" s="119">
        <v>310</v>
      </c>
      <c r="D92" s="5">
        <f t="shared" si="20"/>
        <v>0</v>
      </c>
      <c r="E92" s="2"/>
      <c r="F92" s="2"/>
      <c r="G92" s="5">
        <f t="shared" ref="G92:G94" si="25">H92+I92</f>
        <v>0</v>
      </c>
      <c r="H92" s="2"/>
      <c r="I92" s="4"/>
    </row>
    <row r="93" spans="1:9" ht="75" x14ac:dyDescent="0.25">
      <c r="A93" s="115" t="s">
        <v>68</v>
      </c>
      <c r="B93" s="119">
        <v>244</v>
      </c>
      <c r="C93" s="119">
        <v>320</v>
      </c>
      <c r="D93" s="5">
        <f t="shared" si="20"/>
        <v>0</v>
      </c>
      <c r="E93" s="2"/>
      <c r="F93" s="2"/>
      <c r="G93" s="5">
        <f t="shared" si="25"/>
        <v>0</v>
      </c>
      <c r="H93" s="2"/>
      <c r="I93" s="4"/>
    </row>
    <row r="94" spans="1:9" ht="75" x14ac:dyDescent="0.25">
      <c r="A94" s="115" t="s">
        <v>60</v>
      </c>
      <c r="B94" s="119" t="s">
        <v>5</v>
      </c>
      <c r="C94" s="119">
        <v>340</v>
      </c>
      <c r="D94" s="5">
        <f t="shared" si="20"/>
        <v>0</v>
      </c>
      <c r="E94" s="2">
        <f>E96+E97+E98+E99+E100+E101+E102</f>
        <v>0</v>
      </c>
      <c r="F94" s="2">
        <f>F96+F97+F98+F99+F100+F101+F102</f>
        <v>0</v>
      </c>
      <c r="G94" s="5">
        <f t="shared" si="25"/>
        <v>0</v>
      </c>
      <c r="H94" s="2">
        <f>H96+H97+H98+H99+H100+H101+H102</f>
        <v>0</v>
      </c>
      <c r="I94" s="4">
        <f>I96+I97+I98+I99+I100+I101+I102</f>
        <v>0</v>
      </c>
    </row>
    <row r="95" spans="1:9" ht="18.75" x14ac:dyDescent="0.25">
      <c r="A95" s="115" t="s">
        <v>6</v>
      </c>
      <c r="B95" s="119"/>
      <c r="C95" s="119"/>
      <c r="D95" s="5"/>
      <c r="E95" s="2"/>
      <c r="F95" s="2"/>
      <c r="G95" s="5"/>
      <c r="H95" s="2"/>
      <c r="I95" s="4"/>
    </row>
    <row r="96" spans="1:9" ht="131.25" x14ac:dyDescent="0.25">
      <c r="A96" s="115" t="s">
        <v>37</v>
      </c>
      <c r="B96" s="119">
        <v>244</v>
      </c>
      <c r="C96" s="119">
        <v>341</v>
      </c>
      <c r="D96" s="5">
        <f t="shared" si="20"/>
        <v>0</v>
      </c>
      <c r="E96" s="2"/>
      <c r="F96" s="2"/>
      <c r="G96" s="5">
        <f t="shared" ref="G96:G103" si="26">H96+I96</f>
        <v>0</v>
      </c>
      <c r="H96" s="2"/>
      <c r="I96" s="4"/>
    </row>
    <row r="97" spans="1:9" ht="56.25" x14ac:dyDescent="0.25">
      <c r="A97" s="115" t="s">
        <v>38</v>
      </c>
      <c r="B97" s="119">
        <v>244</v>
      </c>
      <c r="C97" s="119">
        <v>342</v>
      </c>
      <c r="D97" s="5">
        <f t="shared" si="20"/>
        <v>0</v>
      </c>
      <c r="E97" s="2"/>
      <c r="F97" s="2"/>
      <c r="G97" s="5">
        <f t="shared" si="26"/>
        <v>0</v>
      </c>
      <c r="H97" s="2"/>
      <c r="I97" s="4"/>
    </row>
    <row r="98" spans="1:9" ht="75" x14ac:dyDescent="0.25">
      <c r="A98" s="115" t="s">
        <v>39</v>
      </c>
      <c r="B98" s="119">
        <v>244</v>
      </c>
      <c r="C98" s="119">
        <v>343</v>
      </c>
      <c r="D98" s="5">
        <f t="shared" si="20"/>
        <v>0</v>
      </c>
      <c r="E98" s="2"/>
      <c r="F98" s="2"/>
      <c r="G98" s="5">
        <f t="shared" si="26"/>
        <v>0</v>
      </c>
      <c r="H98" s="2"/>
      <c r="I98" s="4"/>
    </row>
    <row r="99" spans="1:9" ht="75" x14ac:dyDescent="0.25">
      <c r="A99" s="115" t="s">
        <v>40</v>
      </c>
      <c r="B99" s="119">
        <v>244</v>
      </c>
      <c r="C99" s="119">
        <v>344</v>
      </c>
      <c r="D99" s="5">
        <f t="shared" si="20"/>
        <v>0</v>
      </c>
      <c r="E99" s="2"/>
      <c r="F99" s="2"/>
      <c r="G99" s="5">
        <f t="shared" si="26"/>
        <v>0</v>
      </c>
      <c r="H99" s="2"/>
      <c r="I99" s="4"/>
    </row>
    <row r="100" spans="1:9" ht="56.25" x14ac:dyDescent="0.25">
      <c r="A100" s="115" t="s">
        <v>41</v>
      </c>
      <c r="B100" s="119">
        <v>244</v>
      </c>
      <c r="C100" s="119">
        <v>345</v>
      </c>
      <c r="D100" s="5">
        <f t="shared" si="20"/>
        <v>0</v>
      </c>
      <c r="E100" s="2"/>
      <c r="F100" s="2"/>
      <c r="G100" s="5">
        <f t="shared" si="26"/>
        <v>0</v>
      </c>
      <c r="H100" s="2"/>
      <c r="I100" s="4"/>
    </row>
    <row r="101" spans="1:9" ht="75" x14ac:dyDescent="0.25">
      <c r="A101" s="115" t="s">
        <v>42</v>
      </c>
      <c r="B101" s="119">
        <v>244</v>
      </c>
      <c r="C101" s="119">
        <v>346</v>
      </c>
      <c r="D101" s="5">
        <f t="shared" si="20"/>
        <v>0</v>
      </c>
      <c r="E101" s="2"/>
      <c r="F101" s="2"/>
      <c r="G101" s="5">
        <f t="shared" si="26"/>
        <v>0</v>
      </c>
      <c r="H101" s="2"/>
      <c r="I101" s="4"/>
    </row>
    <row r="102" spans="1:9" ht="112.5" x14ac:dyDescent="0.25">
      <c r="A102" s="115" t="s">
        <v>43</v>
      </c>
      <c r="B102" s="119">
        <v>244</v>
      </c>
      <c r="C102" s="119">
        <v>349</v>
      </c>
      <c r="D102" s="5">
        <f t="shared" si="20"/>
        <v>0</v>
      </c>
      <c r="E102" s="2"/>
      <c r="F102" s="2"/>
      <c r="G102" s="5">
        <f t="shared" si="26"/>
        <v>0</v>
      </c>
      <c r="H102" s="2"/>
      <c r="I102" s="4"/>
    </row>
    <row r="103" spans="1:9" ht="56.25" x14ac:dyDescent="0.25">
      <c r="A103" s="115" t="s">
        <v>67</v>
      </c>
      <c r="B103" s="119" t="s">
        <v>5</v>
      </c>
      <c r="C103" s="119" t="s">
        <v>5</v>
      </c>
      <c r="D103" s="5">
        <f t="shared" si="20"/>
        <v>0</v>
      </c>
      <c r="E103" s="2">
        <f t="shared" ref="E103:F103" si="27">E105+E106+E107</f>
        <v>0</v>
      </c>
      <c r="F103" s="2">
        <f t="shared" si="27"/>
        <v>0</v>
      </c>
      <c r="G103" s="5">
        <f t="shared" si="26"/>
        <v>0</v>
      </c>
      <c r="H103" s="2">
        <f t="shared" ref="H103:I103" si="28">H105+H106+H107</f>
        <v>0</v>
      </c>
      <c r="I103" s="4">
        <f t="shared" si="28"/>
        <v>0</v>
      </c>
    </row>
    <row r="104" spans="1:9" ht="18.75" x14ac:dyDescent="0.25">
      <c r="A104" s="115" t="s">
        <v>6</v>
      </c>
      <c r="B104" s="119"/>
      <c r="C104" s="119"/>
      <c r="D104" s="5"/>
      <c r="E104" s="2"/>
      <c r="F104" s="2"/>
      <c r="G104" s="5"/>
      <c r="H104" s="2"/>
      <c r="I104" s="4"/>
    </row>
    <row r="105" spans="1:9" ht="18.75" x14ac:dyDescent="0.25">
      <c r="A105" s="115" t="s">
        <v>194</v>
      </c>
      <c r="B105" s="119">
        <v>180</v>
      </c>
      <c r="C105" s="119" t="s">
        <v>5</v>
      </c>
      <c r="D105" s="5">
        <f t="shared" si="20"/>
        <v>0</v>
      </c>
      <c r="E105" s="2"/>
      <c r="F105" s="2"/>
      <c r="G105" s="5">
        <f t="shared" ref="G105:G107" si="29">H105+I105</f>
        <v>0</v>
      </c>
      <c r="H105" s="2"/>
      <c r="I105" s="4"/>
    </row>
    <row r="106" spans="1:9" ht="56.25" x14ac:dyDescent="0.25">
      <c r="A106" s="115" t="s">
        <v>195</v>
      </c>
      <c r="B106" s="119">
        <v>180</v>
      </c>
      <c r="C106" s="119" t="s">
        <v>5</v>
      </c>
      <c r="D106" s="5">
        <f t="shared" si="20"/>
        <v>0</v>
      </c>
      <c r="E106" s="2"/>
      <c r="F106" s="2"/>
      <c r="G106" s="5">
        <f t="shared" si="29"/>
        <v>0</v>
      </c>
      <c r="H106" s="2"/>
      <c r="I106" s="4"/>
    </row>
    <row r="107" spans="1:9" ht="57" thickBot="1" x14ac:dyDescent="0.3">
      <c r="A107" s="32" t="s">
        <v>196</v>
      </c>
      <c r="B107" s="33">
        <v>180</v>
      </c>
      <c r="C107" s="33" t="s">
        <v>5</v>
      </c>
      <c r="D107" s="34">
        <f t="shared" si="20"/>
        <v>0</v>
      </c>
      <c r="E107" s="35"/>
      <c r="F107" s="35"/>
      <c r="G107" s="34">
        <f t="shared" si="29"/>
        <v>0</v>
      </c>
      <c r="H107" s="35"/>
      <c r="I107" s="100"/>
    </row>
    <row r="108" spans="1:9" ht="18.75" x14ac:dyDescent="0.25">
      <c r="A108" s="15"/>
      <c r="B108" s="19"/>
      <c r="C108" s="19"/>
      <c r="D108" s="36"/>
      <c r="E108" s="36"/>
      <c r="F108" s="36"/>
    </row>
    <row r="109" spans="1:9" x14ac:dyDescent="0.25">
      <c r="A109" s="11"/>
    </row>
    <row r="110" spans="1:9" ht="37.5" x14ac:dyDescent="0.3">
      <c r="A110" s="29" t="s">
        <v>52</v>
      </c>
      <c r="B110" s="224"/>
      <c r="C110" s="224"/>
      <c r="D110" s="10"/>
      <c r="E110" s="224"/>
      <c r="F110" s="224"/>
    </row>
    <row r="111" spans="1:9" ht="18.75" x14ac:dyDescent="0.3">
      <c r="A111" s="29"/>
      <c r="B111" s="223" t="s">
        <v>53</v>
      </c>
      <c r="C111" s="223"/>
      <c r="D111" s="10"/>
      <c r="E111" s="223" t="s">
        <v>54</v>
      </c>
      <c r="F111" s="223"/>
    </row>
    <row r="112" spans="1:9" ht="18.75" x14ac:dyDescent="0.3">
      <c r="A112" s="29"/>
      <c r="B112" s="10"/>
      <c r="C112" s="10"/>
      <c r="D112" s="10"/>
      <c r="E112" s="10"/>
      <c r="F112" s="10"/>
    </row>
    <row r="113" spans="1:16" ht="37.5" x14ac:dyDescent="0.3">
      <c r="A113" s="29" t="s">
        <v>55</v>
      </c>
      <c r="B113" s="224"/>
      <c r="C113" s="224"/>
      <c r="D113" s="10"/>
      <c r="E113" s="224"/>
      <c r="F113" s="224"/>
    </row>
    <row r="114" spans="1:16" ht="18.75" x14ac:dyDescent="0.3">
      <c r="A114" s="29"/>
      <c r="B114" s="223" t="s">
        <v>53</v>
      </c>
      <c r="C114" s="223"/>
      <c r="D114" s="10"/>
      <c r="E114" s="223" t="s">
        <v>54</v>
      </c>
      <c r="F114" s="223"/>
    </row>
    <row r="115" spans="1:16" ht="18.75" x14ac:dyDescent="0.3">
      <c r="A115" s="29"/>
      <c r="B115" s="116"/>
      <c r="C115" s="116"/>
      <c r="D115" s="10"/>
      <c r="E115" s="116"/>
      <c r="F115" s="116"/>
    </row>
    <row r="116" spans="1:16" ht="18.75" x14ac:dyDescent="0.3">
      <c r="A116" s="29" t="s">
        <v>56</v>
      </c>
      <c r="B116" s="224"/>
      <c r="C116" s="224"/>
      <c r="D116" s="10"/>
      <c r="E116" s="224"/>
      <c r="F116" s="224"/>
    </row>
    <row r="117" spans="1:16" ht="18.75" x14ac:dyDescent="0.3">
      <c r="A117" s="29"/>
      <c r="B117" s="223" t="s">
        <v>53</v>
      </c>
      <c r="C117" s="223"/>
      <c r="D117" s="10"/>
      <c r="E117" s="223" t="s">
        <v>54</v>
      </c>
      <c r="F117" s="223"/>
    </row>
    <row r="118" spans="1:16" ht="18.75" x14ac:dyDescent="0.3">
      <c r="A118" s="29" t="s">
        <v>57</v>
      </c>
      <c r="B118" s="10"/>
      <c r="C118" s="10"/>
      <c r="D118" s="10"/>
      <c r="E118" s="10"/>
      <c r="F118" s="10"/>
    </row>
    <row r="119" spans="1:16" ht="18.75" x14ac:dyDescent="0.3">
      <c r="A119" s="222" t="s">
        <v>44</v>
      </c>
      <c r="B119" s="222"/>
      <c r="C119" s="10"/>
      <c r="D119" s="10"/>
      <c r="E119" s="10"/>
      <c r="F119" s="10"/>
    </row>
    <row r="120" spans="1:16" ht="18.75" x14ac:dyDescent="0.25">
      <c r="A120" s="321" t="s">
        <v>192</v>
      </c>
      <c r="B120" s="321"/>
      <c r="C120" s="321"/>
      <c r="D120" s="321"/>
      <c r="E120" s="321"/>
      <c r="F120" s="321"/>
      <c r="G120" s="321"/>
      <c r="H120" s="321"/>
      <c r="I120" s="321"/>
      <c r="K120" s="320" t="s">
        <v>233</v>
      </c>
      <c r="L120" s="320"/>
      <c r="M120" s="320"/>
      <c r="N120" s="320" t="s">
        <v>234</v>
      </c>
      <c r="O120" s="320"/>
      <c r="P120" s="320"/>
    </row>
    <row r="121" spans="1:16" ht="60" x14ac:dyDescent="0.25">
      <c r="A121" s="83" t="s">
        <v>236</v>
      </c>
      <c r="B121" s="85" t="s">
        <v>5</v>
      </c>
      <c r="C121" s="85" t="s">
        <v>5</v>
      </c>
      <c r="D121" s="5">
        <f t="shared" ref="D121:D122" si="30">E121+F121</f>
        <v>0</v>
      </c>
      <c r="E121" s="2"/>
      <c r="F121" s="4"/>
      <c r="G121" s="5">
        <f t="shared" ref="G121:G122" si="31">H121+I121</f>
        <v>0</v>
      </c>
      <c r="H121" s="2"/>
      <c r="I121" s="4"/>
      <c r="J121" s="36"/>
      <c r="K121" s="71" t="s">
        <v>230</v>
      </c>
      <c r="L121" s="71" t="s">
        <v>231</v>
      </c>
      <c r="M121" s="71" t="s">
        <v>232</v>
      </c>
      <c r="N121" s="71" t="s">
        <v>230</v>
      </c>
      <c r="O121" s="71" t="s">
        <v>231</v>
      </c>
      <c r="P121" s="71" t="s">
        <v>232</v>
      </c>
    </row>
    <row r="122" spans="1:16" ht="18.75" x14ac:dyDescent="0.25">
      <c r="A122" s="83" t="s">
        <v>7</v>
      </c>
      <c r="B122" s="85" t="s">
        <v>5</v>
      </c>
      <c r="C122" s="85">
        <v>900</v>
      </c>
      <c r="D122" s="5">
        <f t="shared" si="30"/>
        <v>0</v>
      </c>
      <c r="E122" s="2">
        <f>E125+E153+E167+E195</f>
        <v>0</v>
      </c>
      <c r="F122" s="2">
        <f>F125+F153</f>
        <v>0</v>
      </c>
      <c r="G122" s="5">
        <f t="shared" si="31"/>
        <v>0</v>
      </c>
      <c r="H122" s="2">
        <f>H125+H153+H167+H195</f>
        <v>0</v>
      </c>
      <c r="I122" s="2">
        <f>I125+I153</f>
        <v>0</v>
      </c>
      <c r="J122" s="36"/>
      <c r="K122" s="72">
        <f>E31+E32+E33+E35+E41+E55+E56+E57+E63+E65+E66+E68+E72+E73+E74+E75+E76+E77+E80+E81+E82+E84+E89</f>
        <v>0</v>
      </c>
      <c r="L122" s="72">
        <f>K122+D122</f>
        <v>0</v>
      </c>
      <c r="M122" s="72">
        <f>L122-E25</f>
        <v>0</v>
      </c>
      <c r="N122" s="72">
        <f>H31+H32+H33+H35+H41+H55+H56+H57+H63+H65+H66+H68+H72+H73+H74+H75+H76+H77+H80+H81+H82+H84+H89</f>
        <v>0</v>
      </c>
      <c r="O122" s="72">
        <f>N122+G122</f>
        <v>0</v>
      </c>
      <c r="P122" s="72">
        <f>O122-H25</f>
        <v>0</v>
      </c>
    </row>
    <row r="123" spans="1:16" ht="18.75" x14ac:dyDescent="0.25">
      <c r="A123" s="83" t="s">
        <v>6</v>
      </c>
      <c r="B123" s="85"/>
      <c r="C123" s="85"/>
      <c r="D123" s="5"/>
      <c r="E123" s="2"/>
      <c r="F123" s="4"/>
      <c r="G123" s="5"/>
      <c r="H123" s="2"/>
      <c r="I123" s="4"/>
      <c r="J123" s="36"/>
      <c r="K123" s="36"/>
      <c r="L123" s="36"/>
    </row>
    <row r="124" spans="1:16" ht="17.45" customHeight="1" x14ac:dyDescent="0.25">
      <c r="A124" s="322" t="s">
        <v>200</v>
      </c>
      <c r="B124" s="323"/>
      <c r="C124" s="323"/>
      <c r="D124" s="323"/>
      <c r="E124" s="323"/>
      <c r="F124" s="323"/>
      <c r="G124" s="323"/>
      <c r="H124" s="323"/>
      <c r="I124" s="323"/>
      <c r="J124" s="76"/>
      <c r="K124" s="76"/>
      <c r="L124" s="76"/>
    </row>
    <row r="125" spans="1:16" ht="18.75" x14ac:dyDescent="0.25">
      <c r="A125" s="83" t="s">
        <v>8</v>
      </c>
      <c r="B125" s="85" t="s">
        <v>5</v>
      </c>
      <c r="C125" s="85">
        <v>200</v>
      </c>
      <c r="D125" s="5">
        <f t="shared" ref="D125:D157" si="32">E125+F125</f>
        <v>0</v>
      </c>
      <c r="E125" s="2">
        <f>E127+E130+E149</f>
        <v>0</v>
      </c>
      <c r="F125" s="2">
        <f>F127+F130+F149</f>
        <v>0</v>
      </c>
      <c r="G125" s="5">
        <f t="shared" ref="G125" si="33">H125+I125</f>
        <v>0</v>
      </c>
      <c r="H125" s="2">
        <f>H127+H130+H149</f>
        <v>0</v>
      </c>
      <c r="I125" s="2">
        <f>I127+I130+I149</f>
        <v>0</v>
      </c>
      <c r="J125" s="36"/>
      <c r="K125" s="36"/>
      <c r="L125" s="36"/>
    </row>
    <row r="126" spans="1:16" ht="18.75" x14ac:dyDescent="0.25">
      <c r="A126" s="83" t="s">
        <v>9</v>
      </c>
      <c r="B126" s="85"/>
      <c r="C126" s="85"/>
      <c r="D126" s="5"/>
      <c r="E126" s="2"/>
      <c r="F126" s="2"/>
      <c r="G126" s="5"/>
      <c r="H126" s="2"/>
      <c r="I126" s="2"/>
      <c r="J126" s="36"/>
      <c r="K126" s="36"/>
      <c r="L126" s="36"/>
    </row>
    <row r="127" spans="1:16" ht="75" x14ac:dyDescent="0.25">
      <c r="A127" s="83" t="s">
        <v>10</v>
      </c>
      <c r="B127" s="85" t="s">
        <v>5</v>
      </c>
      <c r="C127" s="85">
        <v>210</v>
      </c>
      <c r="D127" s="5">
        <f t="shared" si="32"/>
        <v>0</v>
      </c>
      <c r="E127" s="2">
        <f>E129</f>
        <v>0</v>
      </c>
      <c r="F127" s="2">
        <f>F129</f>
        <v>0</v>
      </c>
      <c r="G127" s="5">
        <f t="shared" ref="G127" si="34">H127+I127</f>
        <v>0</v>
      </c>
      <c r="H127" s="2">
        <f>H129</f>
        <v>0</v>
      </c>
      <c r="I127" s="2">
        <f>I129</f>
        <v>0</v>
      </c>
      <c r="J127" s="36"/>
      <c r="K127" s="36"/>
      <c r="L127" s="36"/>
    </row>
    <row r="128" spans="1:16" ht="18.75" x14ac:dyDescent="0.25">
      <c r="A128" s="83" t="s">
        <v>9</v>
      </c>
      <c r="B128" s="85"/>
      <c r="C128" s="85"/>
      <c r="D128" s="5"/>
      <c r="E128" s="2"/>
      <c r="F128" s="2"/>
      <c r="G128" s="5"/>
      <c r="H128" s="2"/>
      <c r="I128" s="2"/>
      <c r="J128" s="36"/>
      <c r="K128" s="36"/>
      <c r="L128" s="36"/>
    </row>
    <row r="129" spans="1:12" ht="93.75" x14ac:dyDescent="0.25">
      <c r="A129" s="83" t="s">
        <v>201</v>
      </c>
      <c r="B129" s="85">
        <v>244</v>
      </c>
      <c r="C129" s="85">
        <v>214</v>
      </c>
      <c r="D129" s="5">
        <f>E129+F129</f>
        <v>0</v>
      </c>
      <c r="E129" s="2"/>
      <c r="F129" s="2"/>
      <c r="G129" s="5">
        <f>H129+I129</f>
        <v>0</v>
      </c>
      <c r="H129" s="2"/>
      <c r="I129" s="2"/>
      <c r="J129" s="36"/>
      <c r="K129" s="36"/>
      <c r="L129" s="36"/>
    </row>
    <row r="130" spans="1:12" ht="37.5" x14ac:dyDescent="0.25">
      <c r="A130" s="83" t="s">
        <v>14</v>
      </c>
      <c r="B130" s="85" t="s">
        <v>5</v>
      </c>
      <c r="C130" s="85">
        <v>220</v>
      </c>
      <c r="D130" s="5">
        <f t="shared" si="32"/>
        <v>0</v>
      </c>
      <c r="E130" s="2">
        <f>E132+E133+E134+E141+E142+E145+E148</f>
        <v>0</v>
      </c>
      <c r="F130" s="2">
        <f>F132+F133+F134+F141+F142+F145+F148</f>
        <v>0</v>
      </c>
      <c r="G130" s="5">
        <f t="shared" ref="G130" si="35">H130+I130</f>
        <v>0</v>
      </c>
      <c r="H130" s="2">
        <f>H132+H133+H134+H141+H142+H145+H148</f>
        <v>0</v>
      </c>
      <c r="I130" s="2">
        <f>I132+I133+I134+I141+I142+I145+I148</f>
        <v>0</v>
      </c>
      <c r="J130" s="36"/>
      <c r="K130" s="36"/>
      <c r="L130" s="36"/>
    </row>
    <row r="131" spans="1:12" ht="18.75" x14ac:dyDescent="0.25">
      <c r="A131" s="83" t="s">
        <v>9</v>
      </c>
      <c r="B131" s="85"/>
      <c r="C131" s="85"/>
      <c r="D131" s="5"/>
      <c r="E131" s="2"/>
      <c r="F131" s="2"/>
      <c r="G131" s="5"/>
      <c r="H131" s="2"/>
      <c r="I131" s="2"/>
      <c r="J131" s="36"/>
      <c r="K131" s="36"/>
      <c r="L131" s="36"/>
    </row>
    <row r="132" spans="1:12" ht="18.75" x14ac:dyDescent="0.25">
      <c r="A132" s="83" t="s">
        <v>15</v>
      </c>
      <c r="B132" s="85">
        <v>244</v>
      </c>
      <c r="C132" s="85">
        <v>221</v>
      </c>
      <c r="D132" s="5">
        <f t="shared" si="32"/>
        <v>0</v>
      </c>
      <c r="E132" s="2"/>
      <c r="F132" s="2"/>
      <c r="G132" s="5">
        <f t="shared" ref="G132:G134" si="36">H132+I132</f>
        <v>0</v>
      </c>
      <c r="H132" s="2"/>
      <c r="I132" s="2"/>
      <c r="J132" s="36"/>
      <c r="K132" s="36"/>
      <c r="L132" s="36"/>
    </row>
    <row r="133" spans="1:12" ht="37.5" x14ac:dyDescent="0.25">
      <c r="A133" s="83" t="s">
        <v>16</v>
      </c>
      <c r="B133" s="85">
        <v>244</v>
      </c>
      <c r="C133" s="85">
        <v>222</v>
      </c>
      <c r="D133" s="5">
        <f t="shared" si="32"/>
        <v>0</v>
      </c>
      <c r="E133" s="2"/>
      <c r="F133" s="2"/>
      <c r="G133" s="5">
        <f t="shared" si="36"/>
        <v>0</v>
      </c>
      <c r="H133" s="2"/>
      <c r="I133" s="2"/>
      <c r="J133" s="36"/>
      <c r="K133" s="36"/>
      <c r="L133" s="36"/>
    </row>
    <row r="134" spans="1:12" ht="37.5" x14ac:dyDescent="0.25">
      <c r="A134" s="83" t="s">
        <v>17</v>
      </c>
      <c r="B134" s="85" t="s">
        <v>5</v>
      </c>
      <c r="C134" s="85">
        <v>223</v>
      </c>
      <c r="D134" s="5">
        <f t="shared" si="32"/>
        <v>0</v>
      </c>
      <c r="E134" s="2">
        <f t="shared" ref="E134:F134" si="37">E136+E137+E138+E139+E140</f>
        <v>0</v>
      </c>
      <c r="F134" s="2">
        <f t="shared" si="37"/>
        <v>0</v>
      </c>
      <c r="G134" s="5">
        <f t="shared" si="36"/>
        <v>0</v>
      </c>
      <c r="H134" s="2">
        <f t="shared" ref="H134:I134" si="38">H136+H137+H138+H139+H140</f>
        <v>0</v>
      </c>
      <c r="I134" s="2">
        <f t="shared" si="38"/>
        <v>0</v>
      </c>
      <c r="J134" s="36"/>
      <c r="K134" s="36"/>
      <c r="L134" s="36"/>
    </row>
    <row r="135" spans="1:12" ht="18.75" x14ac:dyDescent="0.25">
      <c r="A135" s="83" t="s">
        <v>6</v>
      </c>
      <c r="B135" s="85"/>
      <c r="C135" s="85"/>
      <c r="D135" s="5"/>
      <c r="E135" s="2"/>
      <c r="F135" s="2"/>
      <c r="G135" s="5"/>
      <c r="H135" s="2"/>
      <c r="I135" s="2"/>
      <c r="J135" s="36"/>
      <c r="K135" s="36"/>
      <c r="L135" s="36"/>
    </row>
    <row r="136" spans="1:12" ht="56.25" x14ac:dyDescent="0.25">
      <c r="A136" s="83" t="s">
        <v>18</v>
      </c>
      <c r="B136" s="85">
        <v>244</v>
      </c>
      <c r="C136" s="85">
        <v>223</v>
      </c>
      <c r="D136" s="5">
        <f t="shared" si="32"/>
        <v>0</v>
      </c>
      <c r="E136" s="2"/>
      <c r="F136" s="2"/>
      <c r="G136" s="5">
        <f t="shared" ref="G136:G141" si="39">H136+I136</f>
        <v>0</v>
      </c>
      <c r="H136" s="2"/>
      <c r="I136" s="2"/>
      <c r="J136" s="36"/>
      <c r="K136" s="36"/>
      <c r="L136" s="36"/>
    </row>
    <row r="137" spans="1:12" ht="37.5" x14ac:dyDescent="0.25">
      <c r="A137" s="83" t="s">
        <v>19</v>
      </c>
      <c r="B137" s="85">
        <v>244</v>
      </c>
      <c r="C137" s="85">
        <v>223</v>
      </c>
      <c r="D137" s="5">
        <f t="shared" si="32"/>
        <v>0</v>
      </c>
      <c r="E137" s="2"/>
      <c r="F137" s="2"/>
      <c r="G137" s="5">
        <f t="shared" si="39"/>
        <v>0</v>
      </c>
      <c r="H137" s="2"/>
      <c r="I137" s="2"/>
      <c r="J137" s="36"/>
      <c r="K137" s="36"/>
      <c r="L137" s="36"/>
    </row>
    <row r="138" spans="1:12" ht="75" x14ac:dyDescent="0.25">
      <c r="A138" s="83" t="s">
        <v>20</v>
      </c>
      <c r="B138" s="85">
        <v>244</v>
      </c>
      <c r="C138" s="85">
        <v>223</v>
      </c>
      <c r="D138" s="5">
        <f t="shared" si="32"/>
        <v>0</v>
      </c>
      <c r="E138" s="2"/>
      <c r="F138" s="2"/>
      <c r="G138" s="5">
        <f t="shared" si="39"/>
        <v>0</v>
      </c>
      <c r="H138" s="2"/>
      <c r="I138" s="2"/>
      <c r="J138" s="36"/>
      <c r="K138" s="36"/>
      <c r="L138" s="36"/>
    </row>
    <row r="139" spans="1:12" ht="75" x14ac:dyDescent="0.25">
      <c r="A139" s="83" t="s">
        <v>21</v>
      </c>
      <c r="B139" s="85">
        <v>244</v>
      </c>
      <c r="C139" s="85">
        <v>223</v>
      </c>
      <c r="D139" s="5">
        <f t="shared" si="32"/>
        <v>0</v>
      </c>
      <c r="E139" s="2"/>
      <c r="F139" s="2"/>
      <c r="G139" s="5">
        <f t="shared" si="39"/>
        <v>0</v>
      </c>
      <c r="H139" s="2"/>
      <c r="I139" s="2"/>
      <c r="J139" s="36"/>
      <c r="K139" s="36"/>
      <c r="L139" s="36"/>
    </row>
    <row r="140" spans="1:12" ht="56.25" x14ac:dyDescent="0.25">
      <c r="A140" s="83" t="s">
        <v>22</v>
      </c>
      <c r="B140" s="85">
        <v>244</v>
      </c>
      <c r="C140" s="85">
        <v>223</v>
      </c>
      <c r="D140" s="5">
        <f t="shared" si="32"/>
        <v>0</v>
      </c>
      <c r="E140" s="2"/>
      <c r="F140" s="2"/>
      <c r="G140" s="5">
        <f t="shared" si="39"/>
        <v>0</v>
      </c>
      <c r="H140" s="2"/>
      <c r="I140" s="2"/>
      <c r="J140" s="36"/>
      <c r="K140" s="36"/>
      <c r="L140" s="36"/>
    </row>
    <row r="141" spans="1:12" ht="168.75" x14ac:dyDescent="0.25">
      <c r="A141" s="83" t="s">
        <v>23</v>
      </c>
      <c r="B141" s="85">
        <v>244</v>
      </c>
      <c r="C141" s="85">
        <v>224</v>
      </c>
      <c r="D141" s="5">
        <f t="shared" si="32"/>
        <v>0</v>
      </c>
      <c r="E141" s="2"/>
      <c r="F141" s="2"/>
      <c r="G141" s="5">
        <f t="shared" si="39"/>
        <v>0</v>
      </c>
      <c r="H141" s="2"/>
      <c r="I141" s="2"/>
      <c r="J141" s="36"/>
      <c r="K141" s="36"/>
      <c r="L141" s="36"/>
    </row>
    <row r="142" spans="1:12" ht="56.25" x14ac:dyDescent="0.25">
      <c r="A142" s="83" t="s">
        <v>24</v>
      </c>
      <c r="B142" s="85" t="s">
        <v>5</v>
      </c>
      <c r="C142" s="85">
        <v>225</v>
      </c>
      <c r="D142" s="2">
        <f t="shared" ref="D142:G142" si="40">D143+D144</f>
        <v>0</v>
      </c>
      <c r="E142" s="2">
        <f>E143+E144</f>
        <v>0</v>
      </c>
      <c r="F142" s="2">
        <f t="shared" si="40"/>
        <v>0</v>
      </c>
      <c r="G142" s="2">
        <f t="shared" si="40"/>
        <v>0</v>
      </c>
      <c r="H142" s="2">
        <f>H143+H144</f>
        <v>0</v>
      </c>
      <c r="I142" s="2">
        <f t="shared" ref="I142" si="41">I143+I144</f>
        <v>0</v>
      </c>
      <c r="J142" s="36"/>
      <c r="K142" s="36"/>
      <c r="L142" s="36"/>
    </row>
    <row r="143" spans="1:12" ht="18.75" x14ac:dyDescent="0.25">
      <c r="A143" s="221" t="s">
        <v>6</v>
      </c>
      <c r="B143" s="85">
        <v>243</v>
      </c>
      <c r="C143" s="85">
        <v>225</v>
      </c>
      <c r="D143" s="5">
        <f t="shared" si="32"/>
        <v>0</v>
      </c>
      <c r="E143" s="2"/>
      <c r="F143" s="2"/>
      <c r="G143" s="5">
        <f t="shared" ref="G143:G153" si="42">H143+I143</f>
        <v>0</v>
      </c>
      <c r="H143" s="2"/>
      <c r="I143" s="2"/>
      <c r="J143" s="36"/>
      <c r="K143" s="36"/>
      <c r="L143" s="36"/>
    </row>
    <row r="144" spans="1:12" ht="18.75" x14ac:dyDescent="0.25">
      <c r="A144" s="221"/>
      <c r="B144" s="85">
        <v>244</v>
      </c>
      <c r="C144" s="85">
        <v>225</v>
      </c>
      <c r="D144" s="5">
        <f t="shared" si="32"/>
        <v>0</v>
      </c>
      <c r="E144" s="2"/>
      <c r="F144" s="2"/>
      <c r="G144" s="5">
        <f t="shared" si="42"/>
        <v>0</v>
      </c>
      <c r="H144" s="2"/>
      <c r="I144" s="2"/>
      <c r="J144" s="36"/>
      <c r="K144" s="36"/>
      <c r="L144" s="36"/>
    </row>
    <row r="145" spans="1:12" ht="37.5" x14ac:dyDescent="0.25">
      <c r="A145" s="83" t="s">
        <v>58</v>
      </c>
      <c r="B145" s="85" t="s">
        <v>5</v>
      </c>
      <c r="C145" s="85">
        <v>226</v>
      </c>
      <c r="D145" s="5">
        <f t="shared" si="32"/>
        <v>0</v>
      </c>
      <c r="E145" s="2">
        <f>E146+E147</f>
        <v>0</v>
      </c>
      <c r="F145" s="2">
        <f>F146+F147</f>
        <v>0</v>
      </c>
      <c r="G145" s="5">
        <f t="shared" si="42"/>
        <v>0</v>
      </c>
      <c r="H145" s="2">
        <f>H146+H147</f>
        <v>0</v>
      </c>
      <c r="I145" s="2">
        <f>I146+I147</f>
        <v>0</v>
      </c>
      <c r="J145" s="36"/>
      <c r="K145" s="36"/>
      <c r="L145" s="36"/>
    </row>
    <row r="146" spans="1:12" ht="18.75" x14ac:dyDescent="0.25">
      <c r="A146" s="221" t="s">
        <v>6</v>
      </c>
      <c r="B146" s="85">
        <v>243</v>
      </c>
      <c r="C146" s="85">
        <v>226</v>
      </c>
      <c r="D146" s="5">
        <f t="shared" si="32"/>
        <v>0</v>
      </c>
      <c r="E146" s="2"/>
      <c r="F146" s="2"/>
      <c r="G146" s="5">
        <f t="shared" si="42"/>
        <v>0</v>
      </c>
      <c r="H146" s="2"/>
      <c r="I146" s="2"/>
      <c r="J146" s="36"/>
      <c r="K146" s="36"/>
      <c r="L146" s="36"/>
    </row>
    <row r="147" spans="1:12" ht="18.75" x14ac:dyDescent="0.25">
      <c r="A147" s="221"/>
      <c r="B147" s="85">
        <v>244</v>
      </c>
      <c r="C147" s="85">
        <v>226</v>
      </c>
      <c r="D147" s="5">
        <f t="shared" si="32"/>
        <v>0</v>
      </c>
      <c r="E147" s="2"/>
      <c r="F147" s="2"/>
      <c r="G147" s="5">
        <f t="shared" si="42"/>
        <v>0</v>
      </c>
      <c r="H147" s="2"/>
      <c r="I147" s="2"/>
      <c r="J147" s="36"/>
      <c r="K147" s="36"/>
      <c r="L147" s="36"/>
    </row>
    <row r="148" spans="1:12" ht="18.75" x14ac:dyDescent="0.25">
      <c r="A148" s="83" t="s">
        <v>25</v>
      </c>
      <c r="B148" s="85">
        <v>244</v>
      </c>
      <c r="C148" s="85">
        <v>227</v>
      </c>
      <c r="D148" s="5">
        <f t="shared" si="32"/>
        <v>0</v>
      </c>
      <c r="E148" s="2"/>
      <c r="F148" s="2"/>
      <c r="G148" s="5">
        <f t="shared" si="42"/>
        <v>0</v>
      </c>
      <c r="H148" s="2"/>
      <c r="I148" s="2"/>
      <c r="J148" s="36"/>
      <c r="K148" s="36"/>
      <c r="L148" s="36"/>
    </row>
    <row r="149" spans="1:12" ht="18.75" x14ac:dyDescent="0.25">
      <c r="A149" s="83" t="s">
        <v>30</v>
      </c>
      <c r="B149" s="85" t="s">
        <v>5</v>
      </c>
      <c r="C149" s="85">
        <v>290</v>
      </c>
      <c r="D149" s="5">
        <f t="shared" si="32"/>
        <v>0</v>
      </c>
      <c r="E149" s="2">
        <f>E151+E152</f>
        <v>0</v>
      </c>
      <c r="F149" s="2">
        <f>F151+F152</f>
        <v>0</v>
      </c>
      <c r="G149" s="5">
        <f t="shared" si="42"/>
        <v>0</v>
      </c>
      <c r="H149" s="2">
        <f>H151+H152</f>
        <v>0</v>
      </c>
      <c r="I149" s="2">
        <f>I151+I152</f>
        <v>0</v>
      </c>
      <c r="J149" s="36"/>
      <c r="K149" s="36"/>
      <c r="L149" s="36"/>
    </row>
    <row r="150" spans="1:12" ht="18.75" x14ac:dyDescent="0.25">
      <c r="A150" s="83" t="s">
        <v>9</v>
      </c>
      <c r="B150" s="85"/>
      <c r="C150" s="85"/>
      <c r="D150" s="5">
        <f t="shared" si="32"/>
        <v>0</v>
      </c>
      <c r="E150" s="2"/>
      <c r="F150" s="2"/>
      <c r="G150" s="5">
        <f t="shared" si="42"/>
        <v>0</v>
      </c>
      <c r="H150" s="2"/>
      <c r="I150" s="2"/>
      <c r="J150" s="36"/>
      <c r="K150" s="36"/>
      <c r="L150" s="36"/>
    </row>
    <row r="151" spans="1:12" ht="56.25" x14ac:dyDescent="0.25">
      <c r="A151" s="83" t="s">
        <v>34</v>
      </c>
      <c r="B151" s="85">
        <v>244</v>
      </c>
      <c r="C151" s="85">
        <v>296</v>
      </c>
      <c r="D151" s="5">
        <f t="shared" si="32"/>
        <v>0</v>
      </c>
      <c r="E151" s="2"/>
      <c r="F151" s="2"/>
      <c r="G151" s="5">
        <f t="shared" si="42"/>
        <v>0</v>
      </c>
      <c r="H151" s="2"/>
      <c r="I151" s="2"/>
      <c r="J151" s="36"/>
      <c r="K151" s="36"/>
      <c r="L151" s="36"/>
    </row>
    <row r="152" spans="1:12" ht="56.25" x14ac:dyDescent="0.25">
      <c r="A152" s="83" t="s">
        <v>35</v>
      </c>
      <c r="B152" s="85">
        <v>244</v>
      </c>
      <c r="C152" s="85">
        <v>297</v>
      </c>
      <c r="D152" s="5">
        <f t="shared" si="32"/>
        <v>0</v>
      </c>
      <c r="E152" s="2"/>
      <c r="F152" s="2"/>
      <c r="G152" s="5">
        <f t="shared" si="42"/>
        <v>0</v>
      </c>
      <c r="H152" s="2"/>
      <c r="I152" s="2"/>
      <c r="J152" s="36"/>
      <c r="K152" s="36"/>
      <c r="L152" s="36"/>
    </row>
    <row r="153" spans="1:12" ht="56.25" x14ac:dyDescent="0.25">
      <c r="A153" s="83" t="s">
        <v>59</v>
      </c>
      <c r="B153" s="85" t="s">
        <v>5</v>
      </c>
      <c r="C153" s="85">
        <v>300</v>
      </c>
      <c r="D153" s="5">
        <f t="shared" si="32"/>
        <v>0</v>
      </c>
      <c r="E153" s="2">
        <f>E155+E157+E156</f>
        <v>0</v>
      </c>
      <c r="F153" s="2">
        <f>F155+F157+F156</f>
        <v>0</v>
      </c>
      <c r="G153" s="5">
        <f t="shared" si="42"/>
        <v>0</v>
      </c>
      <c r="H153" s="2">
        <f>H155+H157+H156</f>
        <v>0</v>
      </c>
      <c r="I153" s="2">
        <f>I155+I157+I156</f>
        <v>0</v>
      </c>
      <c r="J153" s="36"/>
      <c r="K153" s="36"/>
      <c r="L153" s="36"/>
    </row>
    <row r="154" spans="1:12" ht="18.75" x14ac:dyDescent="0.25">
      <c r="A154" s="83" t="s">
        <v>9</v>
      </c>
      <c r="B154" s="85"/>
      <c r="C154" s="85"/>
      <c r="D154" s="5"/>
      <c r="E154" s="2"/>
      <c r="F154" s="2"/>
      <c r="G154" s="5"/>
      <c r="H154" s="2"/>
      <c r="I154" s="2"/>
      <c r="J154" s="36"/>
      <c r="K154" s="36"/>
      <c r="L154" s="36"/>
    </row>
    <row r="155" spans="1:12" ht="56.25" x14ac:dyDescent="0.25">
      <c r="A155" s="83" t="s">
        <v>36</v>
      </c>
      <c r="B155" s="85">
        <v>244</v>
      </c>
      <c r="C155" s="85">
        <v>310</v>
      </c>
      <c r="D155" s="5">
        <f t="shared" si="32"/>
        <v>0</v>
      </c>
      <c r="E155" s="2"/>
      <c r="F155" s="2"/>
      <c r="G155" s="5">
        <f t="shared" ref="G155:G157" si="43">H155+I155</f>
        <v>0</v>
      </c>
      <c r="H155" s="2"/>
      <c r="I155" s="2"/>
      <c r="J155" s="36"/>
      <c r="K155" s="36"/>
      <c r="L155" s="36"/>
    </row>
    <row r="156" spans="1:12" ht="75" x14ac:dyDescent="0.25">
      <c r="A156" s="83" t="s">
        <v>68</v>
      </c>
      <c r="B156" s="85">
        <v>244</v>
      </c>
      <c r="C156" s="85">
        <v>320</v>
      </c>
      <c r="D156" s="5">
        <f t="shared" si="32"/>
        <v>0</v>
      </c>
      <c r="E156" s="2"/>
      <c r="F156" s="2"/>
      <c r="G156" s="5">
        <f t="shared" si="43"/>
        <v>0</v>
      </c>
      <c r="H156" s="2"/>
      <c r="I156" s="2"/>
      <c r="J156" s="36"/>
      <c r="K156" s="36"/>
      <c r="L156" s="36"/>
    </row>
    <row r="157" spans="1:12" ht="75" x14ac:dyDescent="0.25">
      <c r="A157" s="83" t="s">
        <v>60</v>
      </c>
      <c r="B157" s="85" t="s">
        <v>5</v>
      </c>
      <c r="C157" s="85">
        <v>340</v>
      </c>
      <c r="D157" s="5">
        <f t="shared" si="32"/>
        <v>0</v>
      </c>
      <c r="E157" s="2">
        <f>E159+E160+E161+E162+E163+E164+E165</f>
        <v>0</v>
      </c>
      <c r="F157" s="2">
        <f>F159+F160+F161+F162+F163+F164+F165</f>
        <v>0</v>
      </c>
      <c r="G157" s="5">
        <f t="shared" si="43"/>
        <v>0</v>
      </c>
      <c r="H157" s="2">
        <f>H159+H160+H161+H162+H163+H164+H165</f>
        <v>0</v>
      </c>
      <c r="I157" s="2">
        <f>I159+I160+I161+I162+I163+I164+I165</f>
        <v>0</v>
      </c>
      <c r="J157" s="36"/>
      <c r="K157" s="36"/>
      <c r="L157" s="36"/>
    </row>
    <row r="158" spans="1:12" ht="18.75" x14ac:dyDescent="0.25">
      <c r="A158" s="83" t="s">
        <v>6</v>
      </c>
      <c r="B158" s="85"/>
      <c r="C158" s="85"/>
      <c r="D158" s="5"/>
      <c r="E158" s="2"/>
      <c r="F158" s="2"/>
      <c r="G158" s="5"/>
      <c r="H158" s="2"/>
      <c r="I158" s="2"/>
      <c r="J158" s="36"/>
      <c r="K158" s="36"/>
      <c r="L158" s="36"/>
    </row>
    <row r="159" spans="1:12" ht="131.25" x14ac:dyDescent="0.25">
      <c r="A159" s="83" t="s">
        <v>37</v>
      </c>
      <c r="B159" s="85">
        <v>244</v>
      </c>
      <c r="C159" s="85">
        <v>341</v>
      </c>
      <c r="D159" s="5">
        <f t="shared" ref="D159:D165" si="44">E159+F159</f>
        <v>0</v>
      </c>
      <c r="E159" s="2"/>
      <c r="F159" s="2"/>
      <c r="G159" s="5">
        <f t="shared" ref="G159:G165" si="45">H159+I159</f>
        <v>0</v>
      </c>
      <c r="H159" s="2"/>
      <c r="I159" s="2"/>
      <c r="J159" s="36"/>
      <c r="K159" s="36"/>
      <c r="L159" s="36"/>
    </row>
    <row r="160" spans="1:12" ht="56.25" x14ac:dyDescent="0.25">
      <c r="A160" s="83" t="s">
        <v>38</v>
      </c>
      <c r="B160" s="85">
        <v>244</v>
      </c>
      <c r="C160" s="85">
        <v>342</v>
      </c>
      <c r="D160" s="5">
        <f t="shared" si="44"/>
        <v>0</v>
      </c>
      <c r="E160" s="2"/>
      <c r="F160" s="2"/>
      <c r="G160" s="5">
        <f t="shared" si="45"/>
        <v>0</v>
      </c>
      <c r="H160" s="2"/>
      <c r="I160" s="2"/>
      <c r="J160" s="36"/>
      <c r="K160" s="36"/>
      <c r="L160" s="36"/>
    </row>
    <row r="161" spans="1:12" ht="75" x14ac:dyDescent="0.25">
      <c r="A161" s="83" t="s">
        <v>39</v>
      </c>
      <c r="B161" s="85">
        <v>244</v>
      </c>
      <c r="C161" s="85">
        <v>343</v>
      </c>
      <c r="D161" s="5">
        <f t="shared" si="44"/>
        <v>0</v>
      </c>
      <c r="E161" s="2"/>
      <c r="F161" s="2"/>
      <c r="G161" s="5">
        <f t="shared" si="45"/>
        <v>0</v>
      </c>
      <c r="H161" s="2"/>
      <c r="I161" s="2"/>
      <c r="J161" s="36"/>
      <c r="K161" s="36"/>
      <c r="L161" s="36"/>
    </row>
    <row r="162" spans="1:12" ht="75" x14ac:dyDescent="0.25">
      <c r="A162" s="83" t="s">
        <v>40</v>
      </c>
      <c r="B162" s="85">
        <v>244</v>
      </c>
      <c r="C162" s="85">
        <v>344</v>
      </c>
      <c r="D162" s="5">
        <f t="shared" si="44"/>
        <v>0</v>
      </c>
      <c r="E162" s="2"/>
      <c r="F162" s="2"/>
      <c r="G162" s="5">
        <f t="shared" si="45"/>
        <v>0</v>
      </c>
      <c r="H162" s="2"/>
      <c r="I162" s="2"/>
      <c r="J162" s="36"/>
      <c r="K162" s="36"/>
      <c r="L162" s="36"/>
    </row>
    <row r="163" spans="1:12" ht="56.25" x14ac:dyDescent="0.25">
      <c r="A163" s="83" t="s">
        <v>41</v>
      </c>
      <c r="B163" s="85">
        <v>244</v>
      </c>
      <c r="C163" s="85">
        <v>345</v>
      </c>
      <c r="D163" s="5">
        <f t="shared" si="44"/>
        <v>0</v>
      </c>
      <c r="E163" s="2"/>
      <c r="F163" s="2"/>
      <c r="G163" s="5">
        <f t="shared" si="45"/>
        <v>0</v>
      </c>
      <c r="H163" s="2"/>
      <c r="I163" s="2"/>
      <c r="J163" s="36"/>
      <c r="K163" s="36"/>
      <c r="L163" s="36"/>
    </row>
    <row r="164" spans="1:12" ht="75" x14ac:dyDescent="0.25">
      <c r="A164" s="83" t="s">
        <v>42</v>
      </c>
      <c r="B164" s="85">
        <v>244</v>
      </c>
      <c r="C164" s="85">
        <v>346</v>
      </c>
      <c r="D164" s="5">
        <f t="shared" si="44"/>
        <v>0</v>
      </c>
      <c r="E164" s="2"/>
      <c r="F164" s="2"/>
      <c r="G164" s="5">
        <f t="shared" si="45"/>
        <v>0</v>
      </c>
      <c r="H164" s="2"/>
      <c r="I164" s="2"/>
      <c r="J164" s="36"/>
      <c r="K164" s="36"/>
      <c r="L164" s="36"/>
    </row>
    <row r="165" spans="1:12" ht="112.5" x14ac:dyDescent="0.25">
      <c r="A165" s="83" t="s">
        <v>43</v>
      </c>
      <c r="B165" s="85">
        <v>244</v>
      </c>
      <c r="C165" s="85">
        <v>349</v>
      </c>
      <c r="D165" s="5">
        <f t="shared" si="44"/>
        <v>0</v>
      </c>
      <c r="E165" s="2"/>
      <c r="F165" s="2"/>
      <c r="G165" s="5">
        <f t="shared" si="45"/>
        <v>0</v>
      </c>
      <c r="H165" s="2"/>
      <c r="I165" s="2"/>
      <c r="J165" s="36"/>
      <c r="K165" s="36"/>
      <c r="L165" s="36"/>
    </row>
    <row r="166" spans="1:12" ht="17.45" customHeight="1" x14ac:dyDescent="0.25">
      <c r="A166" s="322" t="s">
        <v>202</v>
      </c>
      <c r="B166" s="323"/>
      <c r="C166" s="323"/>
      <c r="D166" s="323"/>
      <c r="E166" s="323"/>
      <c r="F166" s="323"/>
      <c r="G166" s="323"/>
      <c r="H166" s="323"/>
      <c r="I166" s="323"/>
      <c r="J166" s="76"/>
      <c r="K166" s="76"/>
      <c r="L166" s="76"/>
    </row>
    <row r="167" spans="1:12" ht="18.75" x14ac:dyDescent="0.25">
      <c r="A167" s="83" t="s">
        <v>8</v>
      </c>
      <c r="B167" s="85" t="s">
        <v>5</v>
      </c>
      <c r="C167" s="85">
        <v>200</v>
      </c>
      <c r="D167" s="5">
        <f t="shared" ref="D167" si="46">E167+F167</f>
        <v>0</v>
      </c>
      <c r="E167" s="2">
        <f>E169+E172+E191</f>
        <v>0</v>
      </c>
      <c r="F167" s="2">
        <f>F169+F172+F191</f>
        <v>0</v>
      </c>
      <c r="G167" s="5">
        <f t="shared" ref="G167" si="47">H167+I167</f>
        <v>0</v>
      </c>
      <c r="H167" s="2">
        <f>H169+H172+H191</f>
        <v>0</v>
      </c>
      <c r="I167" s="2">
        <f>I169+I172+I191</f>
        <v>0</v>
      </c>
      <c r="J167" s="36"/>
      <c r="K167" s="36"/>
      <c r="L167" s="36"/>
    </row>
    <row r="168" spans="1:12" ht="18.75" x14ac:dyDescent="0.25">
      <c r="A168" s="83" t="s">
        <v>9</v>
      </c>
      <c r="B168" s="85"/>
      <c r="C168" s="85"/>
      <c r="D168" s="5"/>
      <c r="E168" s="2"/>
      <c r="F168" s="2"/>
      <c r="G168" s="5"/>
      <c r="H168" s="2"/>
      <c r="I168" s="2"/>
      <c r="J168" s="36"/>
      <c r="K168" s="36"/>
      <c r="L168" s="36"/>
    </row>
    <row r="169" spans="1:12" ht="75" x14ac:dyDescent="0.25">
      <c r="A169" s="83" t="s">
        <v>10</v>
      </c>
      <c r="B169" s="85" t="s">
        <v>5</v>
      </c>
      <c r="C169" s="85">
        <v>210</v>
      </c>
      <c r="D169" s="5">
        <f t="shared" ref="D169" si="48">E169+F169</f>
        <v>0</v>
      </c>
      <c r="E169" s="2">
        <f>E171</f>
        <v>0</v>
      </c>
      <c r="F169" s="2">
        <f>F171</f>
        <v>0</v>
      </c>
      <c r="G169" s="5">
        <f t="shared" ref="G169" si="49">H169+I169</f>
        <v>0</v>
      </c>
      <c r="H169" s="2">
        <f>H171</f>
        <v>0</v>
      </c>
      <c r="I169" s="2">
        <f>I171</f>
        <v>0</v>
      </c>
      <c r="J169" s="36"/>
      <c r="K169" s="36"/>
      <c r="L169" s="36"/>
    </row>
    <row r="170" spans="1:12" ht="18.75" x14ac:dyDescent="0.25">
      <c r="A170" s="83" t="s">
        <v>9</v>
      </c>
      <c r="B170" s="85"/>
      <c r="C170" s="85"/>
      <c r="D170" s="5"/>
      <c r="E170" s="2"/>
      <c r="F170" s="2"/>
      <c r="G170" s="5"/>
      <c r="H170" s="2"/>
      <c r="I170" s="2"/>
      <c r="J170" s="36"/>
      <c r="K170" s="36"/>
      <c r="L170" s="36"/>
    </row>
    <row r="171" spans="1:12" ht="93.75" x14ac:dyDescent="0.25">
      <c r="A171" s="83" t="s">
        <v>201</v>
      </c>
      <c r="B171" s="85">
        <v>244</v>
      </c>
      <c r="C171" s="85">
        <v>214</v>
      </c>
      <c r="D171" s="5">
        <f>E171+F171</f>
        <v>0</v>
      </c>
      <c r="E171" s="70">
        <f>E36-E129</f>
        <v>0</v>
      </c>
      <c r="F171" s="2"/>
      <c r="G171" s="5">
        <f>H171+I171</f>
        <v>0</v>
      </c>
      <c r="H171" s="70">
        <f>H36-H129</f>
        <v>0</v>
      </c>
      <c r="I171" s="2"/>
      <c r="J171" s="36"/>
      <c r="K171" s="36"/>
      <c r="L171" s="36"/>
    </row>
    <row r="172" spans="1:12" ht="37.5" x14ac:dyDescent="0.25">
      <c r="A172" s="83" t="s">
        <v>14</v>
      </c>
      <c r="B172" s="85" t="s">
        <v>5</v>
      </c>
      <c r="C172" s="85">
        <v>220</v>
      </c>
      <c r="D172" s="5">
        <f t="shared" ref="D172" si="50">E172+F172</f>
        <v>0</v>
      </c>
      <c r="E172" s="2">
        <f>E174+E175+E176+E183+E184+E187+E190</f>
        <v>0</v>
      </c>
      <c r="F172" s="2">
        <f>F174+F175+F176+F183+F184+F187+F190</f>
        <v>0</v>
      </c>
      <c r="G172" s="5">
        <f t="shared" ref="G172" si="51">H172+I172</f>
        <v>0</v>
      </c>
      <c r="H172" s="2">
        <f>H174+H175+H176+H183+H184+H187+H190</f>
        <v>0</v>
      </c>
      <c r="I172" s="2">
        <f>I174+I175+I176+I183+I184+I187+I190</f>
        <v>0</v>
      </c>
      <c r="J172" s="36"/>
      <c r="K172" s="36"/>
      <c r="L172" s="36"/>
    </row>
    <row r="173" spans="1:12" ht="18.75" x14ac:dyDescent="0.25">
      <c r="A173" s="83" t="s">
        <v>9</v>
      </c>
      <c r="B173" s="85"/>
      <c r="C173" s="85"/>
      <c r="D173" s="5"/>
      <c r="E173" s="2"/>
      <c r="F173" s="2"/>
      <c r="G173" s="5"/>
      <c r="H173" s="2"/>
      <c r="I173" s="2"/>
      <c r="J173" s="36"/>
      <c r="K173" s="36"/>
      <c r="L173" s="36"/>
    </row>
    <row r="174" spans="1:12" ht="18.75" x14ac:dyDescent="0.25">
      <c r="A174" s="83" t="s">
        <v>15</v>
      </c>
      <c r="B174" s="85">
        <v>244</v>
      </c>
      <c r="C174" s="85">
        <v>221</v>
      </c>
      <c r="D174" s="5">
        <f t="shared" ref="D174:D176" si="52">E174+F174</f>
        <v>0</v>
      </c>
      <c r="E174" s="2">
        <f>E39-E132</f>
        <v>0</v>
      </c>
      <c r="F174" s="2"/>
      <c r="G174" s="5">
        <f t="shared" ref="G174:G176" si="53">H174+I174</f>
        <v>0</v>
      </c>
      <c r="H174" s="2">
        <f>H39-H132</f>
        <v>0</v>
      </c>
      <c r="I174" s="2"/>
      <c r="J174" s="36"/>
      <c r="K174" s="36"/>
      <c r="L174" s="36"/>
    </row>
    <row r="175" spans="1:12" ht="37.5" x14ac:dyDescent="0.25">
      <c r="A175" s="83" t="s">
        <v>16</v>
      </c>
      <c r="B175" s="85">
        <v>244</v>
      </c>
      <c r="C175" s="85">
        <v>222</v>
      </c>
      <c r="D175" s="5">
        <f t="shared" si="52"/>
        <v>0</v>
      </c>
      <c r="E175" s="70">
        <f>E42-E133</f>
        <v>0</v>
      </c>
      <c r="F175" s="2"/>
      <c r="G175" s="5">
        <f t="shared" si="53"/>
        <v>0</v>
      </c>
      <c r="H175" s="70">
        <f>H42-H133</f>
        <v>0</v>
      </c>
      <c r="I175" s="2"/>
      <c r="J175" s="36"/>
      <c r="K175" s="36"/>
      <c r="L175" s="36"/>
    </row>
    <row r="176" spans="1:12" ht="37.5" x14ac:dyDescent="0.25">
      <c r="A176" s="83" t="s">
        <v>17</v>
      </c>
      <c r="B176" s="85" t="s">
        <v>5</v>
      </c>
      <c r="C176" s="85">
        <v>223</v>
      </c>
      <c r="D176" s="5">
        <f t="shared" si="52"/>
        <v>0</v>
      </c>
      <c r="E176" s="2">
        <f t="shared" ref="E176:F176" si="54">E178+E179+E180+E181+E182</f>
        <v>0</v>
      </c>
      <c r="F176" s="2">
        <f t="shared" si="54"/>
        <v>0</v>
      </c>
      <c r="G176" s="5">
        <f t="shared" si="53"/>
        <v>0</v>
      </c>
      <c r="H176" s="2">
        <f t="shared" ref="H176:I176" si="55">H178+H179+H180+H181+H182</f>
        <v>0</v>
      </c>
      <c r="I176" s="2">
        <f t="shared" si="55"/>
        <v>0</v>
      </c>
      <c r="J176" s="36"/>
      <c r="K176" s="36"/>
      <c r="L176" s="36"/>
    </row>
    <row r="177" spans="1:12" ht="18.75" x14ac:dyDescent="0.25">
      <c r="A177" s="83" t="s">
        <v>6</v>
      </c>
      <c r="B177" s="85"/>
      <c r="C177" s="85"/>
      <c r="D177" s="5"/>
      <c r="E177" s="2"/>
      <c r="F177" s="2"/>
      <c r="G177" s="5"/>
      <c r="H177" s="2"/>
      <c r="I177" s="2"/>
      <c r="J177" s="36"/>
      <c r="K177" s="36"/>
      <c r="L177" s="36"/>
    </row>
    <row r="178" spans="1:12" ht="56.25" x14ac:dyDescent="0.25">
      <c r="A178" s="83" t="s">
        <v>18</v>
      </c>
      <c r="B178" s="85">
        <v>244</v>
      </c>
      <c r="C178" s="85">
        <v>223</v>
      </c>
      <c r="D178" s="5">
        <f t="shared" ref="D178:D183" si="56">E178+F178</f>
        <v>0</v>
      </c>
      <c r="E178" s="2">
        <f>E45-E136</f>
        <v>0</v>
      </c>
      <c r="F178" s="2"/>
      <c r="G178" s="5">
        <f t="shared" ref="G178:G183" si="57">H178+I178</f>
        <v>0</v>
      </c>
      <c r="H178" s="2">
        <f>H45-H136</f>
        <v>0</v>
      </c>
      <c r="I178" s="2"/>
      <c r="J178" s="36"/>
      <c r="K178" s="36"/>
      <c r="L178" s="36"/>
    </row>
    <row r="179" spans="1:12" ht="37.5" x14ac:dyDescent="0.25">
      <c r="A179" s="83" t="s">
        <v>19</v>
      </c>
      <c r="B179" s="85">
        <v>244</v>
      </c>
      <c r="C179" s="85">
        <v>223</v>
      </c>
      <c r="D179" s="5">
        <f t="shared" si="56"/>
        <v>0</v>
      </c>
      <c r="E179" s="2">
        <f>E46-E137</f>
        <v>0</v>
      </c>
      <c r="F179" s="2"/>
      <c r="G179" s="5">
        <f t="shared" si="57"/>
        <v>0</v>
      </c>
      <c r="H179" s="2">
        <f>H46-H137</f>
        <v>0</v>
      </c>
      <c r="I179" s="2"/>
      <c r="J179" s="36"/>
      <c r="K179" s="36"/>
      <c r="L179" s="36"/>
    </row>
    <row r="180" spans="1:12" ht="75" x14ac:dyDescent="0.25">
      <c r="A180" s="83" t="s">
        <v>20</v>
      </c>
      <c r="B180" s="85">
        <v>244</v>
      </c>
      <c r="C180" s="85">
        <v>223</v>
      </c>
      <c r="D180" s="5">
        <f t="shared" si="56"/>
        <v>0</v>
      </c>
      <c r="E180" s="2">
        <f>E47-E138</f>
        <v>0</v>
      </c>
      <c r="F180" s="2"/>
      <c r="G180" s="5">
        <f t="shared" si="57"/>
        <v>0</v>
      </c>
      <c r="H180" s="2">
        <f>H47-H138</f>
        <v>0</v>
      </c>
      <c r="I180" s="2"/>
      <c r="J180" s="36"/>
      <c r="K180" s="36"/>
      <c r="L180" s="36"/>
    </row>
    <row r="181" spans="1:12" ht="75" x14ac:dyDescent="0.25">
      <c r="A181" s="83" t="s">
        <v>21</v>
      </c>
      <c r="B181" s="85">
        <v>244</v>
      </c>
      <c r="C181" s="85">
        <v>223</v>
      </c>
      <c r="D181" s="5">
        <f t="shared" si="56"/>
        <v>0</v>
      </c>
      <c r="E181" s="2">
        <f>E48-E139</f>
        <v>0</v>
      </c>
      <c r="F181" s="2"/>
      <c r="G181" s="5">
        <f t="shared" si="57"/>
        <v>0</v>
      </c>
      <c r="H181" s="2">
        <f>H48-H139</f>
        <v>0</v>
      </c>
      <c r="I181" s="2"/>
      <c r="J181" s="36"/>
      <c r="K181" s="36"/>
      <c r="L181" s="36"/>
    </row>
    <row r="182" spans="1:12" ht="56.25" x14ac:dyDescent="0.25">
      <c r="A182" s="83" t="s">
        <v>22</v>
      </c>
      <c r="B182" s="85">
        <v>244</v>
      </c>
      <c r="C182" s="85">
        <v>223</v>
      </c>
      <c r="D182" s="5">
        <f t="shared" si="56"/>
        <v>0</v>
      </c>
      <c r="E182" s="2">
        <f>E49-E140</f>
        <v>0</v>
      </c>
      <c r="F182" s="2"/>
      <c r="G182" s="5">
        <f t="shared" si="57"/>
        <v>0</v>
      </c>
      <c r="H182" s="2">
        <f>H49-H140</f>
        <v>0</v>
      </c>
      <c r="I182" s="2"/>
      <c r="J182" s="36"/>
      <c r="K182" s="36"/>
      <c r="L182" s="36"/>
    </row>
    <row r="183" spans="1:12" ht="168.75" x14ac:dyDescent="0.25">
      <c r="A183" s="83" t="s">
        <v>23</v>
      </c>
      <c r="B183" s="85">
        <v>244</v>
      </c>
      <c r="C183" s="85">
        <v>224</v>
      </c>
      <c r="D183" s="5">
        <f t="shared" si="56"/>
        <v>0</v>
      </c>
      <c r="E183" s="2">
        <f>E50-E141</f>
        <v>0</v>
      </c>
      <c r="F183" s="2"/>
      <c r="G183" s="5">
        <f t="shared" si="57"/>
        <v>0</v>
      </c>
      <c r="H183" s="2">
        <f>H50-H141</f>
        <v>0</v>
      </c>
      <c r="I183" s="2"/>
      <c r="J183" s="36"/>
      <c r="K183" s="36"/>
      <c r="L183" s="36"/>
    </row>
    <row r="184" spans="1:12" ht="56.25" x14ac:dyDescent="0.25">
      <c r="A184" s="83" t="s">
        <v>24</v>
      </c>
      <c r="B184" s="85" t="s">
        <v>5</v>
      </c>
      <c r="C184" s="85">
        <v>225</v>
      </c>
      <c r="D184" s="2">
        <f t="shared" ref="D184" si="58">D185+D186</f>
        <v>0</v>
      </c>
      <c r="E184" s="2">
        <f>E185+E186</f>
        <v>0</v>
      </c>
      <c r="F184" s="2">
        <f t="shared" ref="F184:G184" si="59">F185+F186</f>
        <v>0</v>
      </c>
      <c r="G184" s="2">
        <f t="shared" si="59"/>
        <v>0</v>
      </c>
      <c r="H184" s="2">
        <f>H185+H186</f>
        <v>0</v>
      </c>
      <c r="I184" s="2">
        <f t="shared" ref="I184" si="60">I185+I186</f>
        <v>0</v>
      </c>
      <c r="J184" s="36"/>
      <c r="K184" s="36"/>
      <c r="L184" s="36"/>
    </row>
    <row r="185" spans="1:12" ht="18.75" x14ac:dyDescent="0.25">
      <c r="A185" s="221" t="s">
        <v>6</v>
      </c>
      <c r="B185" s="85">
        <v>243</v>
      </c>
      <c r="C185" s="85">
        <v>225</v>
      </c>
      <c r="D185" s="5">
        <f t="shared" ref="D185:D195" si="61">E185+F185</f>
        <v>0</v>
      </c>
      <c r="E185" s="2">
        <f>E52-E143</f>
        <v>0</v>
      </c>
      <c r="F185" s="2"/>
      <c r="G185" s="5">
        <f t="shared" ref="G185:G195" si="62">H185+I185</f>
        <v>0</v>
      </c>
      <c r="H185" s="2">
        <f>H52-H143</f>
        <v>0</v>
      </c>
      <c r="I185" s="2"/>
      <c r="J185" s="36"/>
      <c r="K185" s="36"/>
      <c r="L185" s="36"/>
    </row>
    <row r="186" spans="1:12" ht="18.75" x14ac:dyDescent="0.25">
      <c r="A186" s="221"/>
      <c r="B186" s="85">
        <v>244</v>
      </c>
      <c r="C186" s="85">
        <v>225</v>
      </c>
      <c r="D186" s="5">
        <f t="shared" si="61"/>
        <v>0</v>
      </c>
      <c r="E186" s="2">
        <f>E53-E144</f>
        <v>0</v>
      </c>
      <c r="F186" s="2"/>
      <c r="G186" s="5">
        <f t="shared" si="62"/>
        <v>0</v>
      </c>
      <c r="H186" s="2">
        <f>H53-H144</f>
        <v>0</v>
      </c>
      <c r="I186" s="2"/>
      <c r="J186" s="36"/>
      <c r="K186" s="36"/>
      <c r="L186" s="36"/>
    </row>
    <row r="187" spans="1:12" ht="37.5" x14ac:dyDescent="0.25">
      <c r="A187" s="83" t="s">
        <v>58</v>
      </c>
      <c r="B187" s="85" t="s">
        <v>5</v>
      </c>
      <c r="C187" s="85">
        <v>226</v>
      </c>
      <c r="D187" s="5">
        <f t="shared" si="61"/>
        <v>0</v>
      </c>
      <c r="E187" s="2">
        <f>E188+E189</f>
        <v>0</v>
      </c>
      <c r="F187" s="2">
        <f>F188+F189</f>
        <v>0</v>
      </c>
      <c r="G187" s="5">
        <f t="shared" si="62"/>
        <v>0</v>
      </c>
      <c r="H187" s="2">
        <f>H188+H189</f>
        <v>0</v>
      </c>
      <c r="I187" s="2">
        <f>I188+I189</f>
        <v>0</v>
      </c>
      <c r="J187" s="36"/>
      <c r="K187" s="36"/>
      <c r="L187" s="36"/>
    </row>
    <row r="188" spans="1:12" ht="18.75" x14ac:dyDescent="0.25">
      <c r="A188" s="221" t="s">
        <v>6</v>
      </c>
      <c r="B188" s="85">
        <v>243</v>
      </c>
      <c r="C188" s="85">
        <v>226</v>
      </c>
      <c r="D188" s="5">
        <f t="shared" si="61"/>
        <v>0</v>
      </c>
      <c r="E188" s="2">
        <f>E58-E146</f>
        <v>0</v>
      </c>
      <c r="F188" s="2"/>
      <c r="G188" s="5">
        <f t="shared" si="62"/>
        <v>0</v>
      </c>
      <c r="H188" s="2">
        <f>H58-H146</f>
        <v>0</v>
      </c>
      <c r="I188" s="2"/>
      <c r="J188" s="36"/>
      <c r="K188" s="36"/>
      <c r="L188" s="36"/>
    </row>
    <row r="189" spans="1:12" ht="18.75" x14ac:dyDescent="0.25">
      <c r="A189" s="221"/>
      <c r="B189" s="85">
        <v>244</v>
      </c>
      <c r="C189" s="85">
        <v>226</v>
      </c>
      <c r="D189" s="5">
        <f t="shared" si="61"/>
        <v>0</v>
      </c>
      <c r="E189" s="2">
        <f>E59-E147</f>
        <v>0</v>
      </c>
      <c r="F189" s="2"/>
      <c r="G189" s="5">
        <f t="shared" si="62"/>
        <v>0</v>
      </c>
      <c r="H189" s="2">
        <f>H59-H147</f>
        <v>0</v>
      </c>
      <c r="I189" s="2"/>
      <c r="J189" s="36"/>
      <c r="K189" s="36"/>
      <c r="L189" s="36"/>
    </row>
    <row r="190" spans="1:12" ht="18.75" x14ac:dyDescent="0.25">
      <c r="A190" s="83" t="s">
        <v>25</v>
      </c>
      <c r="B190" s="85">
        <v>244</v>
      </c>
      <c r="C190" s="85">
        <v>227</v>
      </c>
      <c r="D190" s="5">
        <f t="shared" si="61"/>
        <v>0</v>
      </c>
      <c r="E190" s="2">
        <f>E60-E148</f>
        <v>0</v>
      </c>
      <c r="F190" s="2"/>
      <c r="G190" s="5">
        <f t="shared" si="62"/>
        <v>0</v>
      </c>
      <c r="H190" s="2">
        <f>H60-H148</f>
        <v>0</v>
      </c>
      <c r="I190" s="2"/>
      <c r="J190" s="36"/>
      <c r="K190" s="36"/>
      <c r="L190" s="36"/>
    </row>
    <row r="191" spans="1:12" ht="18.75" x14ac:dyDescent="0.25">
      <c r="A191" s="83" t="s">
        <v>30</v>
      </c>
      <c r="B191" s="85" t="s">
        <v>5</v>
      </c>
      <c r="C191" s="85">
        <v>290</v>
      </c>
      <c r="D191" s="5">
        <f t="shared" si="61"/>
        <v>0</v>
      </c>
      <c r="E191" s="2">
        <f>E193+E194</f>
        <v>0</v>
      </c>
      <c r="F191" s="2">
        <f>F193+F194</f>
        <v>0</v>
      </c>
      <c r="G191" s="5">
        <f t="shared" si="62"/>
        <v>0</v>
      </c>
      <c r="H191" s="2">
        <f>H193+H194</f>
        <v>0</v>
      </c>
      <c r="I191" s="2">
        <f>I193+I194</f>
        <v>0</v>
      </c>
      <c r="J191" s="36"/>
      <c r="K191" s="36"/>
      <c r="L191" s="36"/>
    </row>
    <row r="192" spans="1:12" ht="18.75" x14ac:dyDescent="0.25">
      <c r="A192" s="83" t="s">
        <v>9</v>
      </c>
      <c r="B192" s="85"/>
      <c r="C192" s="85"/>
      <c r="D192" s="5">
        <f t="shared" si="61"/>
        <v>0</v>
      </c>
      <c r="E192" s="2"/>
      <c r="F192" s="2"/>
      <c r="G192" s="5">
        <f t="shared" si="62"/>
        <v>0</v>
      </c>
      <c r="H192" s="2"/>
      <c r="I192" s="2"/>
      <c r="J192" s="36"/>
      <c r="K192" s="36"/>
      <c r="L192" s="36"/>
    </row>
    <row r="193" spans="1:12" ht="56.25" x14ac:dyDescent="0.25">
      <c r="A193" s="83" t="s">
        <v>34</v>
      </c>
      <c r="B193" s="85">
        <v>244</v>
      </c>
      <c r="C193" s="85">
        <v>296</v>
      </c>
      <c r="D193" s="5">
        <f t="shared" si="61"/>
        <v>0</v>
      </c>
      <c r="E193" s="2">
        <f>E79-E151</f>
        <v>0</v>
      </c>
      <c r="F193" s="2"/>
      <c r="G193" s="5">
        <f t="shared" si="62"/>
        <v>0</v>
      </c>
      <c r="H193" s="2">
        <f>H79-H151</f>
        <v>0</v>
      </c>
      <c r="I193" s="2"/>
      <c r="J193" s="36"/>
      <c r="K193" s="36"/>
      <c r="L193" s="36"/>
    </row>
    <row r="194" spans="1:12" ht="56.25" x14ac:dyDescent="0.25">
      <c r="A194" s="83" t="s">
        <v>35</v>
      </c>
      <c r="B194" s="85">
        <v>244</v>
      </c>
      <c r="C194" s="85">
        <v>297</v>
      </c>
      <c r="D194" s="5">
        <f t="shared" si="61"/>
        <v>0</v>
      </c>
      <c r="E194" s="2">
        <f>E86-E152</f>
        <v>0</v>
      </c>
      <c r="F194" s="2"/>
      <c r="G194" s="5">
        <f t="shared" si="62"/>
        <v>0</v>
      </c>
      <c r="H194" s="2">
        <f>H86-H152</f>
        <v>0</v>
      </c>
      <c r="I194" s="2"/>
      <c r="J194" s="36"/>
      <c r="K194" s="36"/>
      <c r="L194" s="36"/>
    </row>
    <row r="195" spans="1:12" ht="56.25" x14ac:dyDescent="0.25">
      <c r="A195" s="83" t="s">
        <v>59</v>
      </c>
      <c r="B195" s="85" t="s">
        <v>5</v>
      </c>
      <c r="C195" s="85">
        <v>300</v>
      </c>
      <c r="D195" s="5">
        <f t="shared" si="61"/>
        <v>0</v>
      </c>
      <c r="E195" s="2">
        <f>E197+E199+E198</f>
        <v>0</v>
      </c>
      <c r="F195" s="2">
        <f>F197+F199+F198</f>
        <v>0</v>
      </c>
      <c r="G195" s="5">
        <f t="shared" si="62"/>
        <v>0</v>
      </c>
      <c r="H195" s="2">
        <f>H197+H199+H198</f>
        <v>0</v>
      </c>
      <c r="I195" s="2">
        <f>I197+I199+I198</f>
        <v>0</v>
      </c>
      <c r="J195" s="36"/>
      <c r="K195" s="36"/>
      <c r="L195" s="36"/>
    </row>
    <row r="196" spans="1:12" ht="18.75" x14ac:dyDescent="0.25">
      <c r="A196" s="83" t="s">
        <v>9</v>
      </c>
      <c r="B196" s="85"/>
      <c r="C196" s="85"/>
      <c r="D196" s="5"/>
      <c r="E196" s="2"/>
      <c r="F196" s="2"/>
      <c r="G196" s="5"/>
      <c r="H196" s="2"/>
      <c r="I196" s="2"/>
      <c r="J196" s="36"/>
      <c r="K196" s="36"/>
      <c r="L196" s="36"/>
    </row>
    <row r="197" spans="1:12" ht="56.25" x14ac:dyDescent="0.25">
      <c r="A197" s="83" t="s">
        <v>36</v>
      </c>
      <c r="B197" s="85">
        <v>244</v>
      </c>
      <c r="C197" s="85">
        <v>310</v>
      </c>
      <c r="D197" s="5">
        <f t="shared" ref="D197:D199" si="63">E197+F197</f>
        <v>0</v>
      </c>
      <c r="E197" s="2">
        <f>E92-E155</f>
        <v>0</v>
      </c>
      <c r="F197" s="2"/>
      <c r="G197" s="5">
        <f t="shared" ref="G197:G199" si="64">H197+I197</f>
        <v>0</v>
      </c>
      <c r="H197" s="2">
        <f>H92-H155</f>
        <v>0</v>
      </c>
      <c r="I197" s="2"/>
      <c r="J197" s="36"/>
      <c r="K197" s="36"/>
      <c r="L197" s="36"/>
    </row>
    <row r="198" spans="1:12" ht="75" x14ac:dyDescent="0.25">
      <c r="A198" s="83" t="s">
        <v>68</v>
      </c>
      <c r="B198" s="85">
        <v>244</v>
      </c>
      <c r="C198" s="85">
        <v>320</v>
      </c>
      <c r="D198" s="5">
        <f t="shared" si="63"/>
        <v>0</v>
      </c>
      <c r="E198" s="2">
        <f>E93-E156</f>
        <v>0</v>
      </c>
      <c r="F198" s="2"/>
      <c r="G198" s="5">
        <f t="shared" si="64"/>
        <v>0</v>
      </c>
      <c r="H198" s="2">
        <f>H93-H156</f>
        <v>0</v>
      </c>
      <c r="I198" s="2"/>
      <c r="J198" s="36"/>
      <c r="K198" s="36"/>
      <c r="L198" s="36"/>
    </row>
    <row r="199" spans="1:12" ht="75" x14ac:dyDescent="0.25">
      <c r="A199" s="83" t="s">
        <v>60</v>
      </c>
      <c r="B199" s="85" t="s">
        <v>5</v>
      </c>
      <c r="C199" s="85">
        <v>340</v>
      </c>
      <c r="D199" s="5">
        <f t="shared" si="63"/>
        <v>0</v>
      </c>
      <c r="E199" s="2">
        <f>E201+E202+E203+E204+E205+E206+E207</f>
        <v>0</v>
      </c>
      <c r="F199" s="2">
        <f>F201+F202+F203+F204+F205+F206+F207</f>
        <v>0</v>
      </c>
      <c r="G199" s="5">
        <f t="shared" si="64"/>
        <v>0</v>
      </c>
      <c r="H199" s="2">
        <f>H201+H202+H203+H204+H205+H206+H207</f>
        <v>0</v>
      </c>
      <c r="I199" s="2">
        <f>I201+I202+I203+I204+I205+I206+I207</f>
        <v>0</v>
      </c>
      <c r="J199" s="36"/>
      <c r="K199" s="36"/>
      <c r="L199" s="36"/>
    </row>
    <row r="200" spans="1:12" ht="18.75" x14ac:dyDescent="0.25">
      <c r="A200" s="83" t="s">
        <v>6</v>
      </c>
      <c r="B200" s="85"/>
      <c r="C200" s="85"/>
      <c r="D200" s="5"/>
      <c r="E200" s="2"/>
      <c r="F200" s="2"/>
      <c r="G200" s="5"/>
      <c r="H200" s="2"/>
      <c r="I200" s="2"/>
      <c r="J200" s="36"/>
      <c r="K200" s="36"/>
      <c r="L200" s="36"/>
    </row>
    <row r="201" spans="1:12" ht="131.25" x14ac:dyDescent="0.25">
      <c r="A201" s="83" t="s">
        <v>37</v>
      </c>
      <c r="B201" s="85">
        <v>244</v>
      </c>
      <c r="C201" s="85">
        <v>341</v>
      </c>
      <c r="D201" s="5">
        <f t="shared" ref="D201:D207" si="65">E201+F201</f>
        <v>0</v>
      </c>
      <c r="E201" s="2">
        <f>E96-E159</f>
        <v>0</v>
      </c>
      <c r="F201" s="2"/>
      <c r="G201" s="5">
        <f t="shared" ref="G201:G207" si="66">H201+I201</f>
        <v>0</v>
      </c>
      <c r="H201" s="2">
        <f>H96-H159</f>
        <v>0</v>
      </c>
      <c r="I201" s="2"/>
      <c r="J201" s="36"/>
      <c r="K201" s="36"/>
      <c r="L201" s="36"/>
    </row>
    <row r="202" spans="1:12" ht="56.25" x14ac:dyDescent="0.25">
      <c r="A202" s="83" t="s">
        <v>38</v>
      </c>
      <c r="B202" s="85">
        <v>244</v>
      </c>
      <c r="C202" s="85">
        <v>342</v>
      </c>
      <c r="D202" s="5">
        <f t="shared" si="65"/>
        <v>0</v>
      </c>
      <c r="E202" s="2">
        <f t="shared" ref="E202:E207" si="67">E97-E160</f>
        <v>0</v>
      </c>
      <c r="F202" s="2"/>
      <c r="G202" s="5">
        <f t="shared" si="66"/>
        <v>0</v>
      </c>
      <c r="H202" s="2">
        <f t="shared" ref="H202:H207" si="68">H97-H160</f>
        <v>0</v>
      </c>
      <c r="I202" s="2"/>
      <c r="J202" s="36"/>
      <c r="K202" s="36"/>
      <c r="L202" s="36"/>
    </row>
    <row r="203" spans="1:12" ht="75" x14ac:dyDescent="0.25">
      <c r="A203" s="83" t="s">
        <v>39</v>
      </c>
      <c r="B203" s="85">
        <v>244</v>
      </c>
      <c r="C203" s="85">
        <v>343</v>
      </c>
      <c r="D203" s="5">
        <f t="shared" si="65"/>
        <v>0</v>
      </c>
      <c r="E203" s="2">
        <f t="shared" si="67"/>
        <v>0</v>
      </c>
      <c r="F203" s="2"/>
      <c r="G203" s="5">
        <f t="shared" si="66"/>
        <v>0</v>
      </c>
      <c r="H203" s="2">
        <f t="shared" si="68"/>
        <v>0</v>
      </c>
      <c r="I203" s="2"/>
      <c r="J203" s="36"/>
      <c r="K203" s="36"/>
      <c r="L203" s="36"/>
    </row>
    <row r="204" spans="1:12" ht="75" x14ac:dyDescent="0.25">
      <c r="A204" s="83" t="s">
        <v>40</v>
      </c>
      <c r="B204" s="85">
        <v>244</v>
      </c>
      <c r="C204" s="85">
        <v>344</v>
      </c>
      <c r="D204" s="5">
        <f t="shared" si="65"/>
        <v>0</v>
      </c>
      <c r="E204" s="2">
        <f t="shared" si="67"/>
        <v>0</v>
      </c>
      <c r="F204" s="2"/>
      <c r="G204" s="5">
        <f t="shared" si="66"/>
        <v>0</v>
      </c>
      <c r="H204" s="2">
        <f t="shared" si="68"/>
        <v>0</v>
      </c>
      <c r="I204" s="2"/>
      <c r="J204" s="36"/>
      <c r="K204" s="36"/>
      <c r="L204" s="36"/>
    </row>
    <row r="205" spans="1:12" ht="56.25" x14ac:dyDescent="0.25">
      <c r="A205" s="83" t="s">
        <v>41</v>
      </c>
      <c r="B205" s="85">
        <v>244</v>
      </c>
      <c r="C205" s="85">
        <v>345</v>
      </c>
      <c r="D205" s="5">
        <f t="shared" si="65"/>
        <v>0</v>
      </c>
      <c r="E205" s="2">
        <f t="shared" si="67"/>
        <v>0</v>
      </c>
      <c r="F205" s="2"/>
      <c r="G205" s="5">
        <f t="shared" si="66"/>
        <v>0</v>
      </c>
      <c r="H205" s="2">
        <f t="shared" si="68"/>
        <v>0</v>
      </c>
      <c r="I205" s="2"/>
      <c r="J205" s="36"/>
      <c r="K205" s="36"/>
      <c r="L205" s="36"/>
    </row>
    <row r="206" spans="1:12" ht="75" x14ac:dyDescent="0.25">
      <c r="A206" s="83" t="s">
        <v>42</v>
      </c>
      <c r="B206" s="85">
        <v>244</v>
      </c>
      <c r="C206" s="85">
        <v>346</v>
      </c>
      <c r="D206" s="5">
        <f t="shared" si="65"/>
        <v>0</v>
      </c>
      <c r="E206" s="2">
        <f t="shared" si="67"/>
        <v>0</v>
      </c>
      <c r="F206" s="2"/>
      <c r="G206" s="5">
        <f t="shared" si="66"/>
        <v>0</v>
      </c>
      <c r="H206" s="2">
        <f t="shared" si="68"/>
        <v>0</v>
      </c>
      <c r="I206" s="2"/>
      <c r="J206" s="36"/>
      <c r="K206" s="36"/>
      <c r="L206" s="36"/>
    </row>
    <row r="207" spans="1:12" ht="112.5" x14ac:dyDescent="0.25">
      <c r="A207" s="83" t="s">
        <v>43</v>
      </c>
      <c r="B207" s="85">
        <v>244</v>
      </c>
      <c r="C207" s="85">
        <v>349</v>
      </c>
      <c r="D207" s="5">
        <f t="shared" si="65"/>
        <v>0</v>
      </c>
      <c r="E207" s="2">
        <f t="shared" si="67"/>
        <v>0</v>
      </c>
      <c r="F207" s="2"/>
      <c r="G207" s="5">
        <f t="shared" si="66"/>
        <v>0</v>
      </c>
      <c r="H207" s="2">
        <f t="shared" si="68"/>
        <v>0</v>
      </c>
      <c r="I207" s="2"/>
      <c r="J207" s="36"/>
      <c r="K207" s="36"/>
      <c r="L207" s="36"/>
    </row>
  </sheetData>
  <mergeCells count="39">
    <mergeCell ref="K120:M120"/>
    <mergeCell ref="N120:P120"/>
    <mergeCell ref="A124:I124"/>
    <mergeCell ref="A166:I166"/>
    <mergeCell ref="A146:A147"/>
    <mergeCell ref="A185:A186"/>
    <mergeCell ref="A188:A189"/>
    <mergeCell ref="G5:G6"/>
    <mergeCell ref="H5:I5"/>
    <mergeCell ref="A120:I120"/>
    <mergeCell ref="B117:C117"/>
    <mergeCell ref="E117:F117"/>
    <mergeCell ref="A119:B119"/>
    <mergeCell ref="A143:A144"/>
    <mergeCell ref="B113:C113"/>
    <mergeCell ref="E113:F113"/>
    <mergeCell ref="B114:C114"/>
    <mergeCell ref="E114:F114"/>
    <mergeCell ref="B116:C116"/>
    <mergeCell ref="E116:F116"/>
    <mergeCell ref="A79:A84"/>
    <mergeCell ref="A86:A89"/>
    <mergeCell ref="B110:C110"/>
    <mergeCell ref="E110:F110"/>
    <mergeCell ref="B111:C111"/>
    <mergeCell ref="E111:F111"/>
    <mergeCell ref="E5:F5"/>
    <mergeCell ref="A1:I1"/>
    <mergeCell ref="A2:I2"/>
    <mergeCell ref="A72:A74"/>
    <mergeCell ref="A5:A6"/>
    <mergeCell ref="B5:B6"/>
    <mergeCell ref="C5:C6"/>
    <mergeCell ref="D5:D6"/>
    <mergeCell ref="A35:A36"/>
    <mergeCell ref="A41:A42"/>
    <mergeCell ref="A52:A53"/>
    <mergeCell ref="A55:A59"/>
    <mergeCell ref="A65:A66"/>
  </mergeCells>
  <pageMargins left="1.3779527559055118" right="0.39370078740157483" top="0.98425196850393704" bottom="0.78740157480314965" header="0.31496062992125984" footer="0.31496062992125984"/>
  <pageSetup paperSize="9" scale="5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05"/>
  <sheetViews>
    <sheetView topLeftCell="A92" zoomScaleNormal="100" workbookViewId="0">
      <selection activeCell="I95" sqref="A5:I95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9" width="18.5703125" style="7" customWidth="1"/>
    <col min="10" max="16384" width="8.85546875" style="7"/>
  </cols>
  <sheetData>
    <row r="1" spans="1:9" ht="18.75" x14ac:dyDescent="0.25">
      <c r="A1" s="237" t="s">
        <v>269</v>
      </c>
      <c r="B1" s="237"/>
      <c r="C1" s="237"/>
      <c r="D1" s="237"/>
      <c r="E1" s="237"/>
      <c r="F1" s="237"/>
      <c r="G1" s="237"/>
      <c r="H1" s="237"/>
      <c r="I1" s="237"/>
    </row>
    <row r="2" spans="1:9" ht="18.75" x14ac:dyDescent="0.25">
      <c r="A2" s="237" t="s">
        <v>75</v>
      </c>
      <c r="B2" s="237"/>
      <c r="C2" s="237"/>
      <c r="D2" s="237"/>
      <c r="E2" s="237"/>
      <c r="F2" s="237"/>
      <c r="G2" s="237"/>
      <c r="H2" s="237"/>
      <c r="I2" s="237"/>
    </row>
    <row r="3" spans="1:9" x14ac:dyDescent="0.25">
      <c r="A3" s="30"/>
    </row>
    <row r="4" spans="1:9" ht="19.5" thickBot="1" x14ac:dyDescent="0.3">
      <c r="A4" s="6"/>
      <c r="F4" s="6"/>
      <c r="G4" s="6"/>
      <c r="I4" s="6" t="s">
        <v>51</v>
      </c>
    </row>
    <row r="5" spans="1:9" ht="30.6" customHeight="1" x14ac:dyDescent="0.25">
      <c r="A5" s="229" t="s">
        <v>0</v>
      </c>
      <c r="B5" s="231" t="s">
        <v>45</v>
      </c>
      <c r="C5" s="233" t="s">
        <v>46</v>
      </c>
      <c r="D5" s="231" t="s">
        <v>1</v>
      </c>
      <c r="E5" s="231" t="s">
        <v>73</v>
      </c>
      <c r="F5" s="231"/>
      <c r="G5" s="231" t="s">
        <v>1</v>
      </c>
      <c r="H5" s="231" t="s">
        <v>73</v>
      </c>
      <c r="I5" s="241"/>
    </row>
    <row r="6" spans="1:9" ht="15.75" x14ac:dyDescent="0.25">
      <c r="A6" s="330"/>
      <c r="B6" s="331"/>
      <c r="C6" s="332"/>
      <c r="D6" s="331"/>
      <c r="E6" s="331" t="s">
        <v>6</v>
      </c>
      <c r="F6" s="331"/>
      <c r="G6" s="331"/>
      <c r="H6" s="331" t="s">
        <v>6</v>
      </c>
      <c r="I6" s="333"/>
    </row>
    <row r="7" spans="1:9" ht="212.45" customHeight="1" thickBot="1" x14ac:dyDescent="0.3">
      <c r="A7" s="230"/>
      <c r="B7" s="232"/>
      <c r="C7" s="234"/>
      <c r="D7" s="232"/>
      <c r="E7" s="117" t="s">
        <v>198</v>
      </c>
      <c r="F7" s="117" t="s">
        <v>199</v>
      </c>
      <c r="G7" s="232"/>
      <c r="H7" s="117" t="s">
        <v>198</v>
      </c>
      <c r="I7" s="38" t="s">
        <v>199</v>
      </c>
    </row>
    <row r="8" spans="1:9" ht="19.5" thickBot="1" x14ac:dyDescent="0.3">
      <c r="A8" s="92">
        <v>1</v>
      </c>
      <c r="B8" s="93">
        <v>2</v>
      </c>
      <c r="C8" s="93">
        <v>3</v>
      </c>
      <c r="D8" s="93">
        <v>4</v>
      </c>
      <c r="E8" s="93">
        <v>5</v>
      </c>
      <c r="F8" s="93">
        <v>6</v>
      </c>
      <c r="G8" s="93">
        <v>7</v>
      </c>
      <c r="H8" s="93">
        <v>8</v>
      </c>
      <c r="I8" s="94">
        <v>9</v>
      </c>
    </row>
    <row r="9" spans="1:9" ht="18.75" x14ac:dyDescent="0.25">
      <c r="A9" s="95" t="s">
        <v>184</v>
      </c>
      <c r="B9" s="96" t="s">
        <v>5</v>
      </c>
      <c r="C9" s="96" t="s">
        <v>5</v>
      </c>
      <c r="D9" s="97">
        <f t="shared" ref="D9:D10" si="0">E9+F9</f>
        <v>0</v>
      </c>
      <c r="E9" s="98"/>
      <c r="F9" s="98"/>
      <c r="G9" s="97">
        <f t="shared" ref="G9:G10" si="1">H9+I9</f>
        <v>0</v>
      </c>
      <c r="H9" s="98"/>
      <c r="I9" s="99"/>
    </row>
    <row r="10" spans="1:9" ht="18.75" x14ac:dyDescent="0.25">
      <c r="A10" s="115" t="s">
        <v>7</v>
      </c>
      <c r="B10" s="119" t="s">
        <v>5</v>
      </c>
      <c r="C10" s="119">
        <v>900</v>
      </c>
      <c r="D10" s="5">
        <f t="shared" si="0"/>
        <v>0</v>
      </c>
      <c r="E10" s="2">
        <f>E13+E41</f>
        <v>0</v>
      </c>
      <c r="F10" s="2">
        <f>F13+F41</f>
        <v>0</v>
      </c>
      <c r="G10" s="5">
        <f t="shared" si="1"/>
        <v>0</v>
      </c>
      <c r="H10" s="2">
        <f>H13+H41</f>
        <v>0</v>
      </c>
      <c r="I10" s="4">
        <f>I13+I41</f>
        <v>0</v>
      </c>
    </row>
    <row r="11" spans="1:9" ht="18.75" x14ac:dyDescent="0.25">
      <c r="A11" s="115" t="s">
        <v>6</v>
      </c>
      <c r="B11" s="119"/>
      <c r="C11" s="119"/>
      <c r="D11" s="5"/>
      <c r="E11" s="2"/>
      <c r="F11" s="2"/>
      <c r="G11" s="5"/>
      <c r="H11" s="2"/>
      <c r="I11" s="4"/>
    </row>
    <row r="12" spans="1:9" ht="33.6" customHeight="1" x14ac:dyDescent="0.25">
      <c r="A12" s="327" t="s">
        <v>200</v>
      </c>
      <c r="B12" s="328"/>
      <c r="C12" s="328"/>
      <c r="D12" s="328"/>
      <c r="E12" s="328"/>
      <c r="F12" s="328"/>
      <c r="G12" s="328"/>
      <c r="H12" s="328"/>
      <c r="I12" s="329"/>
    </row>
    <row r="13" spans="1:9" ht="18.75" x14ac:dyDescent="0.25">
      <c r="A13" s="115" t="s">
        <v>8</v>
      </c>
      <c r="B13" s="119" t="s">
        <v>5</v>
      </c>
      <c r="C13" s="119">
        <v>200</v>
      </c>
      <c r="D13" s="5">
        <f t="shared" ref="D13:D45" si="2">E13+F13</f>
        <v>0</v>
      </c>
      <c r="E13" s="2">
        <f>E15+E18+E37</f>
        <v>0</v>
      </c>
      <c r="F13" s="2">
        <f>F15+F18+F37</f>
        <v>0</v>
      </c>
      <c r="G13" s="5">
        <f t="shared" ref="G13" si="3">H13+I13</f>
        <v>0</v>
      </c>
      <c r="H13" s="2">
        <f>H15+H18+H37</f>
        <v>0</v>
      </c>
      <c r="I13" s="4">
        <f>I15+I18+I37</f>
        <v>0</v>
      </c>
    </row>
    <row r="14" spans="1:9" ht="14.45" customHeight="1" x14ac:dyDescent="0.25">
      <c r="A14" s="115" t="s">
        <v>9</v>
      </c>
      <c r="B14" s="119"/>
      <c r="C14" s="119"/>
      <c r="D14" s="5"/>
      <c r="E14" s="2"/>
      <c r="F14" s="2"/>
      <c r="G14" s="5"/>
      <c r="H14" s="2"/>
      <c r="I14" s="4"/>
    </row>
    <row r="15" spans="1:9" ht="75" x14ac:dyDescent="0.25">
      <c r="A15" s="115" t="s">
        <v>10</v>
      </c>
      <c r="B15" s="119" t="s">
        <v>5</v>
      </c>
      <c r="C15" s="119">
        <v>210</v>
      </c>
      <c r="D15" s="5">
        <f t="shared" si="2"/>
        <v>0</v>
      </c>
      <c r="E15" s="2">
        <f>E17</f>
        <v>0</v>
      </c>
      <c r="F15" s="2">
        <f>F17</f>
        <v>0</v>
      </c>
      <c r="G15" s="5">
        <f t="shared" ref="G15" si="4">H15+I15</f>
        <v>0</v>
      </c>
      <c r="H15" s="2">
        <f>H17</f>
        <v>0</v>
      </c>
      <c r="I15" s="4">
        <f>I17</f>
        <v>0</v>
      </c>
    </row>
    <row r="16" spans="1:9" ht="18.75" x14ac:dyDescent="0.25">
      <c r="A16" s="115" t="s">
        <v>9</v>
      </c>
      <c r="B16" s="119"/>
      <c r="C16" s="119"/>
      <c r="D16" s="5"/>
      <c r="E16" s="2"/>
      <c r="F16" s="2"/>
      <c r="G16" s="5"/>
      <c r="H16" s="2"/>
      <c r="I16" s="4"/>
    </row>
    <row r="17" spans="1:9" ht="93.75" x14ac:dyDescent="0.25">
      <c r="A17" s="115" t="s">
        <v>201</v>
      </c>
      <c r="B17" s="119">
        <v>244</v>
      </c>
      <c r="C17" s="119">
        <v>214</v>
      </c>
      <c r="D17" s="5">
        <f>E17+F17</f>
        <v>0</v>
      </c>
      <c r="E17" s="2"/>
      <c r="F17" s="2"/>
      <c r="G17" s="5">
        <f>H17+I17</f>
        <v>0</v>
      </c>
      <c r="H17" s="2"/>
      <c r="I17" s="4"/>
    </row>
    <row r="18" spans="1:9" ht="37.5" x14ac:dyDescent="0.25">
      <c r="A18" s="115" t="s">
        <v>14</v>
      </c>
      <c r="B18" s="119" t="s">
        <v>5</v>
      </c>
      <c r="C18" s="119">
        <v>220</v>
      </c>
      <c r="D18" s="5">
        <f t="shared" si="2"/>
        <v>0</v>
      </c>
      <c r="E18" s="2">
        <f>E20+E21+E22+E29+E30+E33+E36</f>
        <v>0</v>
      </c>
      <c r="F18" s="2">
        <f>F20+F21+F22+F29+F30+F33+F36</f>
        <v>0</v>
      </c>
      <c r="G18" s="5">
        <f t="shared" ref="G18" si="5">H18+I18</f>
        <v>0</v>
      </c>
      <c r="H18" s="2">
        <f>H20+H21+H22+H29+H30+H33+H36</f>
        <v>0</v>
      </c>
      <c r="I18" s="4">
        <f>I20+I21+I22+I29+I30+I33+I36</f>
        <v>0</v>
      </c>
    </row>
    <row r="19" spans="1:9" ht="18.75" x14ac:dyDescent="0.25">
      <c r="A19" s="115" t="s">
        <v>9</v>
      </c>
      <c r="B19" s="119"/>
      <c r="C19" s="119"/>
      <c r="D19" s="5"/>
      <c r="E19" s="2"/>
      <c r="F19" s="2"/>
      <c r="G19" s="5"/>
      <c r="H19" s="2"/>
      <c r="I19" s="4"/>
    </row>
    <row r="20" spans="1:9" ht="18.75" x14ac:dyDescent="0.25">
      <c r="A20" s="115" t="s">
        <v>15</v>
      </c>
      <c r="B20" s="119">
        <v>244</v>
      </c>
      <c r="C20" s="119">
        <v>221</v>
      </c>
      <c r="D20" s="5">
        <f t="shared" si="2"/>
        <v>0</v>
      </c>
      <c r="E20" s="2"/>
      <c r="F20" s="2"/>
      <c r="G20" s="5">
        <f t="shared" ref="G20:G22" si="6">H20+I20</f>
        <v>0</v>
      </c>
      <c r="H20" s="2"/>
      <c r="I20" s="4"/>
    </row>
    <row r="21" spans="1:9" ht="37.5" x14ac:dyDescent="0.25">
      <c r="A21" s="115" t="s">
        <v>16</v>
      </c>
      <c r="B21" s="119">
        <v>244</v>
      </c>
      <c r="C21" s="119">
        <v>222</v>
      </c>
      <c r="D21" s="5">
        <f t="shared" si="2"/>
        <v>0</v>
      </c>
      <c r="E21" s="2"/>
      <c r="F21" s="2"/>
      <c r="G21" s="5">
        <f t="shared" si="6"/>
        <v>0</v>
      </c>
      <c r="H21" s="2"/>
      <c r="I21" s="4"/>
    </row>
    <row r="22" spans="1:9" ht="37.5" x14ac:dyDescent="0.25">
      <c r="A22" s="115" t="s">
        <v>17</v>
      </c>
      <c r="B22" s="119" t="s">
        <v>5</v>
      </c>
      <c r="C22" s="119">
        <v>223</v>
      </c>
      <c r="D22" s="5">
        <f t="shared" si="2"/>
        <v>0</v>
      </c>
      <c r="E22" s="2">
        <f t="shared" ref="E22:F22" si="7">E24+E25+E26+E27+E28</f>
        <v>0</v>
      </c>
      <c r="F22" s="2">
        <f t="shared" si="7"/>
        <v>0</v>
      </c>
      <c r="G22" s="5">
        <f t="shared" si="6"/>
        <v>0</v>
      </c>
      <c r="H22" s="2">
        <f t="shared" ref="H22:I22" si="8">H24+H25+H26+H27+H28</f>
        <v>0</v>
      </c>
      <c r="I22" s="4">
        <f t="shared" si="8"/>
        <v>0</v>
      </c>
    </row>
    <row r="23" spans="1:9" ht="18.75" x14ac:dyDescent="0.25">
      <c r="A23" s="115" t="s">
        <v>6</v>
      </c>
      <c r="B23" s="119"/>
      <c r="C23" s="119"/>
      <c r="D23" s="5"/>
      <c r="E23" s="2"/>
      <c r="F23" s="2"/>
      <c r="G23" s="5"/>
      <c r="H23" s="2"/>
      <c r="I23" s="4"/>
    </row>
    <row r="24" spans="1:9" ht="56.25" x14ac:dyDescent="0.25">
      <c r="A24" s="115" t="s">
        <v>18</v>
      </c>
      <c r="B24" s="119">
        <v>244</v>
      </c>
      <c r="C24" s="119">
        <v>223</v>
      </c>
      <c r="D24" s="5">
        <f t="shared" si="2"/>
        <v>0</v>
      </c>
      <c r="E24" s="2"/>
      <c r="F24" s="2"/>
      <c r="G24" s="5">
        <f t="shared" ref="G24:G29" si="9">H24+I24</f>
        <v>0</v>
      </c>
      <c r="H24" s="2"/>
      <c r="I24" s="4"/>
    </row>
    <row r="25" spans="1:9" ht="37.5" x14ac:dyDescent="0.25">
      <c r="A25" s="115" t="s">
        <v>19</v>
      </c>
      <c r="B25" s="119">
        <v>244</v>
      </c>
      <c r="C25" s="119">
        <v>223</v>
      </c>
      <c r="D25" s="5">
        <f t="shared" si="2"/>
        <v>0</v>
      </c>
      <c r="E25" s="2"/>
      <c r="F25" s="2"/>
      <c r="G25" s="5">
        <f t="shared" si="9"/>
        <v>0</v>
      </c>
      <c r="H25" s="2"/>
      <c r="I25" s="4"/>
    </row>
    <row r="26" spans="1:9" ht="65.45" customHeight="1" x14ac:dyDescent="0.25">
      <c r="A26" s="115" t="s">
        <v>20</v>
      </c>
      <c r="B26" s="119">
        <v>244</v>
      </c>
      <c r="C26" s="119">
        <v>223</v>
      </c>
      <c r="D26" s="5">
        <f t="shared" si="2"/>
        <v>0</v>
      </c>
      <c r="E26" s="2"/>
      <c r="F26" s="2"/>
      <c r="G26" s="5">
        <f t="shared" si="9"/>
        <v>0</v>
      </c>
      <c r="H26" s="2"/>
      <c r="I26" s="4"/>
    </row>
    <row r="27" spans="1:9" ht="75" x14ac:dyDescent="0.25">
      <c r="A27" s="115" t="s">
        <v>21</v>
      </c>
      <c r="B27" s="119">
        <v>244</v>
      </c>
      <c r="C27" s="119">
        <v>223</v>
      </c>
      <c r="D27" s="5">
        <f t="shared" si="2"/>
        <v>0</v>
      </c>
      <c r="E27" s="2"/>
      <c r="F27" s="2"/>
      <c r="G27" s="5">
        <f t="shared" si="9"/>
        <v>0</v>
      </c>
      <c r="H27" s="2"/>
      <c r="I27" s="4"/>
    </row>
    <row r="28" spans="1:9" ht="56.25" x14ac:dyDescent="0.25">
      <c r="A28" s="115" t="s">
        <v>22</v>
      </c>
      <c r="B28" s="119">
        <v>244</v>
      </c>
      <c r="C28" s="119">
        <v>223</v>
      </c>
      <c r="D28" s="5">
        <f t="shared" si="2"/>
        <v>0</v>
      </c>
      <c r="E28" s="2"/>
      <c r="F28" s="2"/>
      <c r="G28" s="5">
        <f t="shared" si="9"/>
        <v>0</v>
      </c>
      <c r="H28" s="2"/>
      <c r="I28" s="4"/>
    </row>
    <row r="29" spans="1:9" ht="168.75" x14ac:dyDescent="0.25">
      <c r="A29" s="115" t="s">
        <v>23</v>
      </c>
      <c r="B29" s="119">
        <v>244</v>
      </c>
      <c r="C29" s="119">
        <v>224</v>
      </c>
      <c r="D29" s="5">
        <f t="shared" si="2"/>
        <v>0</v>
      </c>
      <c r="E29" s="2"/>
      <c r="F29" s="2"/>
      <c r="G29" s="5">
        <f t="shared" si="9"/>
        <v>0</v>
      </c>
      <c r="H29" s="2"/>
      <c r="I29" s="4"/>
    </row>
    <row r="30" spans="1:9" ht="56.25" x14ac:dyDescent="0.25">
      <c r="A30" s="115" t="s">
        <v>24</v>
      </c>
      <c r="B30" s="119" t="s">
        <v>5</v>
      </c>
      <c r="C30" s="119">
        <v>225</v>
      </c>
      <c r="D30" s="2">
        <f t="shared" ref="D30:G30" si="10">D31+D32</f>
        <v>0</v>
      </c>
      <c r="E30" s="2">
        <f>E31+E32</f>
        <v>0</v>
      </c>
      <c r="F30" s="2">
        <f t="shared" si="10"/>
        <v>0</v>
      </c>
      <c r="G30" s="2">
        <f t="shared" si="10"/>
        <v>0</v>
      </c>
      <c r="H30" s="2">
        <f>H31+H32</f>
        <v>0</v>
      </c>
      <c r="I30" s="4">
        <f t="shared" ref="I30" si="11">I31+I32</f>
        <v>0</v>
      </c>
    </row>
    <row r="31" spans="1:9" ht="18.75" x14ac:dyDescent="0.25">
      <c r="A31" s="221" t="s">
        <v>6</v>
      </c>
      <c r="B31" s="119">
        <v>243</v>
      </c>
      <c r="C31" s="119">
        <v>225</v>
      </c>
      <c r="D31" s="5">
        <f t="shared" si="2"/>
        <v>0</v>
      </c>
      <c r="E31" s="2"/>
      <c r="F31" s="2"/>
      <c r="G31" s="5">
        <f t="shared" ref="G31:G41" si="12">H31+I31</f>
        <v>0</v>
      </c>
      <c r="H31" s="2"/>
      <c r="I31" s="4"/>
    </row>
    <row r="32" spans="1:9" ht="18.75" x14ac:dyDescent="0.25">
      <c r="A32" s="221"/>
      <c r="B32" s="119">
        <v>244</v>
      </c>
      <c r="C32" s="119">
        <v>225</v>
      </c>
      <c r="D32" s="5">
        <f t="shared" si="2"/>
        <v>0</v>
      </c>
      <c r="E32" s="2"/>
      <c r="F32" s="2"/>
      <c r="G32" s="5">
        <f t="shared" si="12"/>
        <v>0</v>
      </c>
      <c r="H32" s="2"/>
      <c r="I32" s="4"/>
    </row>
    <row r="33" spans="1:9" ht="37.5" x14ac:dyDescent="0.25">
      <c r="A33" s="115" t="s">
        <v>58</v>
      </c>
      <c r="B33" s="119" t="s">
        <v>5</v>
      </c>
      <c r="C33" s="119">
        <v>226</v>
      </c>
      <c r="D33" s="5">
        <f t="shared" si="2"/>
        <v>0</v>
      </c>
      <c r="E33" s="2">
        <f>E34+E35</f>
        <v>0</v>
      </c>
      <c r="F33" s="2">
        <f>F34+F35</f>
        <v>0</v>
      </c>
      <c r="G33" s="5">
        <f t="shared" si="12"/>
        <v>0</v>
      </c>
      <c r="H33" s="2">
        <f>H34+H35</f>
        <v>0</v>
      </c>
      <c r="I33" s="4">
        <f>I34+I35</f>
        <v>0</v>
      </c>
    </row>
    <row r="34" spans="1:9" ht="18.75" x14ac:dyDescent="0.25">
      <c r="A34" s="221" t="s">
        <v>6</v>
      </c>
      <c r="B34" s="119">
        <v>243</v>
      </c>
      <c r="C34" s="119">
        <v>226</v>
      </c>
      <c r="D34" s="5">
        <f t="shared" si="2"/>
        <v>0</v>
      </c>
      <c r="E34" s="2"/>
      <c r="F34" s="2"/>
      <c r="G34" s="5">
        <f t="shared" si="12"/>
        <v>0</v>
      </c>
      <c r="H34" s="2"/>
      <c r="I34" s="4"/>
    </row>
    <row r="35" spans="1:9" ht="18.75" x14ac:dyDescent="0.25">
      <c r="A35" s="221"/>
      <c r="B35" s="119">
        <v>244</v>
      </c>
      <c r="C35" s="119">
        <v>226</v>
      </c>
      <c r="D35" s="5">
        <f t="shared" si="2"/>
        <v>0</v>
      </c>
      <c r="E35" s="2"/>
      <c r="F35" s="2"/>
      <c r="G35" s="5">
        <f t="shared" si="12"/>
        <v>0</v>
      </c>
      <c r="H35" s="2"/>
      <c r="I35" s="4"/>
    </row>
    <row r="36" spans="1:9" ht="18.75" x14ac:dyDescent="0.25">
      <c r="A36" s="115" t="s">
        <v>25</v>
      </c>
      <c r="B36" s="119">
        <v>244</v>
      </c>
      <c r="C36" s="119">
        <v>227</v>
      </c>
      <c r="D36" s="5">
        <f t="shared" si="2"/>
        <v>0</v>
      </c>
      <c r="E36" s="2"/>
      <c r="F36" s="2"/>
      <c r="G36" s="5">
        <f t="shared" si="12"/>
        <v>0</v>
      </c>
      <c r="H36" s="2"/>
      <c r="I36" s="4"/>
    </row>
    <row r="37" spans="1:9" ht="18.75" x14ac:dyDescent="0.25">
      <c r="A37" s="115" t="s">
        <v>30</v>
      </c>
      <c r="B37" s="119" t="s">
        <v>5</v>
      </c>
      <c r="C37" s="119">
        <v>290</v>
      </c>
      <c r="D37" s="5">
        <f t="shared" si="2"/>
        <v>0</v>
      </c>
      <c r="E37" s="2">
        <f>E39+E40</f>
        <v>0</v>
      </c>
      <c r="F37" s="2">
        <f>F39+F40</f>
        <v>0</v>
      </c>
      <c r="G37" s="5">
        <f t="shared" si="12"/>
        <v>0</v>
      </c>
      <c r="H37" s="2">
        <f>H39+H40</f>
        <v>0</v>
      </c>
      <c r="I37" s="4">
        <f>I39+I40</f>
        <v>0</v>
      </c>
    </row>
    <row r="38" spans="1:9" ht="18.75" x14ac:dyDescent="0.25">
      <c r="A38" s="115" t="s">
        <v>9</v>
      </c>
      <c r="B38" s="119"/>
      <c r="C38" s="119"/>
      <c r="D38" s="5">
        <f t="shared" si="2"/>
        <v>0</v>
      </c>
      <c r="E38" s="2"/>
      <c r="F38" s="2"/>
      <c r="G38" s="5">
        <f t="shared" si="12"/>
        <v>0</v>
      </c>
      <c r="H38" s="2"/>
      <c r="I38" s="4"/>
    </row>
    <row r="39" spans="1:9" ht="56.25" x14ac:dyDescent="0.25">
      <c r="A39" s="115" t="s">
        <v>34</v>
      </c>
      <c r="B39" s="119">
        <v>244</v>
      </c>
      <c r="C39" s="119">
        <v>296</v>
      </c>
      <c r="D39" s="5">
        <f t="shared" si="2"/>
        <v>0</v>
      </c>
      <c r="E39" s="2"/>
      <c r="F39" s="2"/>
      <c r="G39" s="5">
        <f t="shared" si="12"/>
        <v>0</v>
      </c>
      <c r="H39" s="2"/>
      <c r="I39" s="4"/>
    </row>
    <row r="40" spans="1:9" ht="56.25" x14ac:dyDescent="0.25">
      <c r="A40" s="115" t="s">
        <v>35</v>
      </c>
      <c r="B40" s="119">
        <v>244</v>
      </c>
      <c r="C40" s="119">
        <v>297</v>
      </c>
      <c r="D40" s="5">
        <f t="shared" si="2"/>
        <v>0</v>
      </c>
      <c r="E40" s="2"/>
      <c r="F40" s="2"/>
      <c r="G40" s="5">
        <f t="shared" si="12"/>
        <v>0</v>
      </c>
      <c r="H40" s="2"/>
      <c r="I40" s="4"/>
    </row>
    <row r="41" spans="1:9" ht="56.25" x14ac:dyDescent="0.25">
      <c r="A41" s="115" t="s">
        <v>59</v>
      </c>
      <c r="B41" s="119" t="s">
        <v>5</v>
      </c>
      <c r="C41" s="119">
        <v>300</v>
      </c>
      <c r="D41" s="5">
        <f t="shared" si="2"/>
        <v>0</v>
      </c>
      <c r="E41" s="2">
        <f>E43+E45+E44</f>
        <v>0</v>
      </c>
      <c r="F41" s="2">
        <f>F43+F45+F44</f>
        <v>0</v>
      </c>
      <c r="G41" s="5">
        <f t="shared" si="12"/>
        <v>0</v>
      </c>
      <c r="H41" s="2">
        <f>H43+H45+H44</f>
        <v>0</v>
      </c>
      <c r="I41" s="4">
        <f>I43+I45+I44</f>
        <v>0</v>
      </c>
    </row>
    <row r="42" spans="1:9" ht="18.75" x14ac:dyDescent="0.25">
      <c r="A42" s="115" t="s">
        <v>9</v>
      </c>
      <c r="B42" s="119"/>
      <c r="C42" s="119"/>
      <c r="D42" s="5"/>
      <c r="E42" s="2"/>
      <c r="F42" s="2"/>
      <c r="G42" s="5"/>
      <c r="H42" s="2"/>
      <c r="I42" s="4"/>
    </row>
    <row r="43" spans="1:9" ht="14.45" customHeight="1" x14ac:dyDescent="0.25">
      <c r="A43" s="115" t="s">
        <v>36</v>
      </c>
      <c r="B43" s="119">
        <v>244</v>
      </c>
      <c r="C43" s="119">
        <v>310</v>
      </c>
      <c r="D43" s="5">
        <f t="shared" si="2"/>
        <v>0</v>
      </c>
      <c r="E43" s="2"/>
      <c r="F43" s="2"/>
      <c r="G43" s="5">
        <f t="shared" ref="G43:G45" si="13">H43+I43</f>
        <v>0</v>
      </c>
      <c r="H43" s="2"/>
      <c r="I43" s="4"/>
    </row>
    <row r="44" spans="1:9" ht="75" x14ac:dyDescent="0.25">
      <c r="A44" s="115" t="s">
        <v>68</v>
      </c>
      <c r="B44" s="119">
        <v>244</v>
      </c>
      <c r="C44" s="119">
        <v>320</v>
      </c>
      <c r="D44" s="5">
        <f t="shared" si="2"/>
        <v>0</v>
      </c>
      <c r="E44" s="2"/>
      <c r="F44" s="2"/>
      <c r="G44" s="5">
        <f t="shared" si="13"/>
        <v>0</v>
      </c>
      <c r="H44" s="2"/>
      <c r="I44" s="4"/>
    </row>
    <row r="45" spans="1:9" ht="75" x14ac:dyDescent="0.25">
      <c r="A45" s="115" t="s">
        <v>60</v>
      </c>
      <c r="B45" s="119" t="s">
        <v>5</v>
      </c>
      <c r="C45" s="119">
        <v>340</v>
      </c>
      <c r="D45" s="5">
        <f t="shared" si="2"/>
        <v>0</v>
      </c>
      <c r="E45" s="2">
        <f>E47+E48+E49+E50+E51+E52+E53</f>
        <v>0</v>
      </c>
      <c r="F45" s="2">
        <f>F47+F48+F49+F50+F51+F52+F53</f>
        <v>0</v>
      </c>
      <c r="G45" s="5">
        <f t="shared" si="13"/>
        <v>0</v>
      </c>
      <c r="H45" s="2">
        <f>H47+H48+H49+H50+H51+H52+H53</f>
        <v>0</v>
      </c>
      <c r="I45" s="4">
        <f>I47+I48+I49+I50+I51+I52+I53</f>
        <v>0</v>
      </c>
    </row>
    <row r="46" spans="1:9" ht="18.75" x14ac:dyDescent="0.25">
      <c r="A46" s="115" t="s">
        <v>6</v>
      </c>
      <c r="B46" s="119"/>
      <c r="C46" s="119"/>
      <c r="D46" s="5"/>
      <c r="E46" s="2"/>
      <c r="F46" s="2"/>
      <c r="G46" s="5"/>
      <c r="H46" s="2"/>
      <c r="I46" s="4"/>
    </row>
    <row r="47" spans="1:9" ht="131.25" x14ac:dyDescent="0.25">
      <c r="A47" s="115" t="s">
        <v>37</v>
      </c>
      <c r="B47" s="119">
        <v>244</v>
      </c>
      <c r="C47" s="119">
        <v>341</v>
      </c>
      <c r="D47" s="5">
        <f t="shared" ref="D47:D53" si="14">E47+F47</f>
        <v>0</v>
      </c>
      <c r="E47" s="2"/>
      <c r="F47" s="2"/>
      <c r="G47" s="5">
        <f t="shared" ref="G47:G53" si="15">H47+I47</f>
        <v>0</v>
      </c>
      <c r="H47" s="2"/>
      <c r="I47" s="4"/>
    </row>
    <row r="48" spans="1:9" ht="56.25" x14ac:dyDescent="0.25">
      <c r="A48" s="115" t="s">
        <v>38</v>
      </c>
      <c r="B48" s="119">
        <v>244</v>
      </c>
      <c r="C48" s="119">
        <v>342</v>
      </c>
      <c r="D48" s="5">
        <f t="shared" si="14"/>
        <v>0</v>
      </c>
      <c r="E48" s="2"/>
      <c r="F48" s="2"/>
      <c r="G48" s="5">
        <f t="shared" si="15"/>
        <v>0</v>
      </c>
      <c r="H48" s="2"/>
      <c r="I48" s="4"/>
    </row>
    <row r="49" spans="1:9" ht="75" x14ac:dyDescent="0.25">
      <c r="A49" s="115" t="s">
        <v>39</v>
      </c>
      <c r="B49" s="119">
        <v>244</v>
      </c>
      <c r="C49" s="119">
        <v>343</v>
      </c>
      <c r="D49" s="5">
        <f t="shared" si="14"/>
        <v>0</v>
      </c>
      <c r="E49" s="2"/>
      <c r="F49" s="2"/>
      <c r="G49" s="5">
        <f t="shared" si="15"/>
        <v>0</v>
      </c>
      <c r="H49" s="2"/>
      <c r="I49" s="4"/>
    </row>
    <row r="50" spans="1:9" ht="75" x14ac:dyDescent="0.25">
      <c r="A50" s="115" t="s">
        <v>40</v>
      </c>
      <c r="B50" s="119">
        <v>244</v>
      </c>
      <c r="C50" s="119">
        <v>344</v>
      </c>
      <c r="D50" s="5">
        <f t="shared" si="14"/>
        <v>0</v>
      </c>
      <c r="E50" s="2"/>
      <c r="F50" s="2"/>
      <c r="G50" s="5">
        <f t="shared" si="15"/>
        <v>0</v>
      </c>
      <c r="H50" s="2"/>
      <c r="I50" s="4"/>
    </row>
    <row r="51" spans="1:9" ht="56.25" x14ac:dyDescent="0.25">
      <c r="A51" s="115" t="s">
        <v>41</v>
      </c>
      <c r="B51" s="119">
        <v>244</v>
      </c>
      <c r="C51" s="119">
        <v>345</v>
      </c>
      <c r="D51" s="5">
        <f t="shared" si="14"/>
        <v>0</v>
      </c>
      <c r="E51" s="2"/>
      <c r="F51" s="2"/>
      <c r="G51" s="5">
        <f t="shared" si="15"/>
        <v>0</v>
      </c>
      <c r="H51" s="2"/>
      <c r="I51" s="4"/>
    </row>
    <row r="52" spans="1:9" ht="75" x14ac:dyDescent="0.25">
      <c r="A52" s="115" t="s">
        <v>42</v>
      </c>
      <c r="B52" s="119">
        <v>244</v>
      </c>
      <c r="C52" s="119">
        <v>346</v>
      </c>
      <c r="D52" s="5">
        <f t="shared" si="14"/>
        <v>0</v>
      </c>
      <c r="E52" s="2"/>
      <c r="F52" s="2"/>
      <c r="G52" s="5">
        <f t="shared" si="15"/>
        <v>0</v>
      </c>
      <c r="H52" s="2"/>
      <c r="I52" s="4"/>
    </row>
    <row r="53" spans="1:9" ht="112.5" x14ac:dyDescent="0.25">
      <c r="A53" s="115" t="s">
        <v>43</v>
      </c>
      <c r="B53" s="119">
        <v>244</v>
      </c>
      <c r="C53" s="119">
        <v>349</v>
      </c>
      <c r="D53" s="5">
        <f t="shared" si="14"/>
        <v>0</v>
      </c>
      <c r="E53" s="2"/>
      <c r="F53" s="2"/>
      <c r="G53" s="5">
        <f t="shared" si="15"/>
        <v>0</v>
      </c>
      <c r="H53" s="2"/>
      <c r="I53" s="4"/>
    </row>
    <row r="54" spans="1:9" ht="32.450000000000003" customHeight="1" x14ac:dyDescent="0.25">
      <c r="A54" s="327" t="s">
        <v>202</v>
      </c>
      <c r="B54" s="328"/>
      <c r="C54" s="328"/>
      <c r="D54" s="328"/>
      <c r="E54" s="328"/>
      <c r="F54" s="328"/>
      <c r="G54" s="328"/>
      <c r="H54" s="328"/>
      <c r="I54" s="329"/>
    </row>
    <row r="55" spans="1:9" ht="18.75" x14ac:dyDescent="0.25">
      <c r="A55" s="115" t="s">
        <v>8</v>
      </c>
      <c r="B55" s="119" t="s">
        <v>5</v>
      </c>
      <c r="C55" s="119">
        <v>200</v>
      </c>
      <c r="D55" s="5">
        <f t="shared" ref="D55" si="16">E55+F55</f>
        <v>0</v>
      </c>
      <c r="E55" s="2">
        <f>E57+E60+E79</f>
        <v>0</v>
      </c>
      <c r="F55" s="2">
        <f>F57+F60+F79</f>
        <v>0</v>
      </c>
      <c r="G55" s="5">
        <f t="shared" ref="G55" si="17">H55+I55</f>
        <v>0</v>
      </c>
      <c r="H55" s="2">
        <f>H57+H60+H79</f>
        <v>0</v>
      </c>
      <c r="I55" s="4">
        <f>I57+I60+I79</f>
        <v>0</v>
      </c>
    </row>
    <row r="56" spans="1:9" ht="18.75" x14ac:dyDescent="0.25">
      <c r="A56" s="115" t="s">
        <v>9</v>
      </c>
      <c r="B56" s="119"/>
      <c r="C56" s="119"/>
      <c r="D56" s="5"/>
      <c r="E56" s="2"/>
      <c r="F56" s="2"/>
      <c r="G56" s="5"/>
      <c r="H56" s="2"/>
      <c r="I56" s="4"/>
    </row>
    <row r="57" spans="1:9" ht="75" x14ac:dyDescent="0.25">
      <c r="A57" s="115" t="s">
        <v>10</v>
      </c>
      <c r="B57" s="119" t="s">
        <v>5</v>
      </c>
      <c r="C57" s="119">
        <v>210</v>
      </c>
      <c r="D57" s="5">
        <f t="shared" ref="D57" si="18">E57+F57</f>
        <v>0</v>
      </c>
      <c r="E57" s="2">
        <f>E59</f>
        <v>0</v>
      </c>
      <c r="F57" s="2">
        <f>F59</f>
        <v>0</v>
      </c>
      <c r="G57" s="5">
        <f t="shared" ref="G57" si="19">H57+I57</f>
        <v>0</v>
      </c>
      <c r="H57" s="2">
        <f>H59</f>
        <v>0</v>
      </c>
      <c r="I57" s="4">
        <f>I59</f>
        <v>0</v>
      </c>
    </row>
    <row r="58" spans="1:9" ht="18.75" x14ac:dyDescent="0.25">
      <c r="A58" s="115" t="s">
        <v>9</v>
      </c>
      <c r="B58" s="119"/>
      <c r="C58" s="119"/>
      <c r="D58" s="5"/>
      <c r="E58" s="2"/>
      <c r="F58" s="2"/>
      <c r="G58" s="5"/>
      <c r="H58" s="2"/>
      <c r="I58" s="4"/>
    </row>
    <row r="59" spans="1:9" ht="93.75" x14ac:dyDescent="0.25">
      <c r="A59" s="115" t="s">
        <v>201</v>
      </c>
      <c r="B59" s="119">
        <v>244</v>
      </c>
      <c r="C59" s="119">
        <v>214</v>
      </c>
      <c r="D59" s="5">
        <f>E59+F59</f>
        <v>0</v>
      </c>
      <c r="E59" s="2"/>
      <c r="F59" s="2"/>
      <c r="G59" s="5">
        <f>H59+I59</f>
        <v>0</v>
      </c>
      <c r="H59" s="2"/>
      <c r="I59" s="4"/>
    </row>
    <row r="60" spans="1:9" ht="37.5" x14ac:dyDescent="0.25">
      <c r="A60" s="115" t="s">
        <v>14</v>
      </c>
      <c r="B60" s="119" t="s">
        <v>5</v>
      </c>
      <c r="C60" s="119">
        <v>220</v>
      </c>
      <c r="D60" s="5">
        <f t="shared" ref="D60" si="20">E60+F60</f>
        <v>0</v>
      </c>
      <c r="E60" s="2">
        <f>E62+E63+E64+E71+E72+E75+E78</f>
        <v>0</v>
      </c>
      <c r="F60" s="2">
        <f>F62+F63+F64+F71+F72+F75+F78</f>
        <v>0</v>
      </c>
      <c r="G60" s="5">
        <f t="shared" ref="G60" si="21">H60+I60</f>
        <v>0</v>
      </c>
      <c r="H60" s="2">
        <f>H62+H63+H64+H71+H72+H75+H78</f>
        <v>0</v>
      </c>
      <c r="I60" s="4">
        <f>I62+I63+I64+I71+I72+I75+I78</f>
        <v>0</v>
      </c>
    </row>
    <row r="61" spans="1:9" ht="18.75" x14ac:dyDescent="0.25">
      <c r="A61" s="115" t="s">
        <v>9</v>
      </c>
      <c r="B61" s="119"/>
      <c r="C61" s="119"/>
      <c r="D61" s="5"/>
      <c r="E61" s="2"/>
      <c r="F61" s="2"/>
      <c r="G61" s="5"/>
      <c r="H61" s="2"/>
      <c r="I61" s="4"/>
    </row>
    <row r="62" spans="1:9" ht="18.75" x14ac:dyDescent="0.25">
      <c r="A62" s="115" t="s">
        <v>15</v>
      </c>
      <c r="B62" s="119">
        <v>244</v>
      </c>
      <c r="C62" s="119">
        <v>221</v>
      </c>
      <c r="D62" s="5">
        <f t="shared" ref="D62:D64" si="22">E62+F62</f>
        <v>0</v>
      </c>
      <c r="E62" s="2"/>
      <c r="F62" s="2"/>
      <c r="G62" s="5">
        <f t="shared" ref="G62:G64" si="23">H62+I62</f>
        <v>0</v>
      </c>
      <c r="H62" s="2"/>
      <c r="I62" s="4"/>
    </row>
    <row r="63" spans="1:9" ht="37.5" x14ac:dyDescent="0.25">
      <c r="A63" s="115" t="s">
        <v>16</v>
      </c>
      <c r="B63" s="119">
        <v>244</v>
      </c>
      <c r="C63" s="119">
        <v>222</v>
      </c>
      <c r="D63" s="5">
        <f t="shared" si="22"/>
        <v>0</v>
      </c>
      <c r="E63" s="2"/>
      <c r="F63" s="2"/>
      <c r="G63" s="5">
        <f t="shared" si="23"/>
        <v>0</v>
      </c>
      <c r="H63" s="2"/>
      <c r="I63" s="4"/>
    </row>
    <row r="64" spans="1:9" ht="37.5" x14ac:dyDescent="0.25">
      <c r="A64" s="115" t="s">
        <v>17</v>
      </c>
      <c r="B64" s="119" t="s">
        <v>5</v>
      </c>
      <c r="C64" s="119">
        <v>223</v>
      </c>
      <c r="D64" s="5">
        <f t="shared" si="22"/>
        <v>0</v>
      </c>
      <c r="E64" s="2">
        <f t="shared" ref="E64:F64" si="24">E66+E67+E68+E69+E70</f>
        <v>0</v>
      </c>
      <c r="F64" s="2">
        <f t="shared" si="24"/>
        <v>0</v>
      </c>
      <c r="G64" s="5">
        <f t="shared" si="23"/>
        <v>0</v>
      </c>
      <c r="H64" s="2">
        <f t="shared" ref="H64:I64" si="25">H66+H67+H68+H69+H70</f>
        <v>0</v>
      </c>
      <c r="I64" s="4">
        <f t="shared" si="25"/>
        <v>0</v>
      </c>
    </row>
    <row r="65" spans="1:9" ht="18.75" x14ac:dyDescent="0.25">
      <c r="A65" s="115" t="s">
        <v>6</v>
      </c>
      <c r="B65" s="119"/>
      <c r="C65" s="119"/>
      <c r="D65" s="5"/>
      <c r="E65" s="2"/>
      <c r="F65" s="2"/>
      <c r="G65" s="5"/>
      <c r="H65" s="2"/>
      <c r="I65" s="4"/>
    </row>
    <row r="66" spans="1:9" ht="56.25" x14ac:dyDescent="0.25">
      <c r="A66" s="115" t="s">
        <v>18</v>
      </c>
      <c r="B66" s="119">
        <v>244</v>
      </c>
      <c r="C66" s="119">
        <v>223</v>
      </c>
      <c r="D66" s="5">
        <f t="shared" ref="D66:D71" si="26">E66+F66</f>
        <v>0</v>
      </c>
      <c r="E66" s="2"/>
      <c r="F66" s="2"/>
      <c r="G66" s="5">
        <f t="shared" ref="G66:G71" si="27">H66+I66</f>
        <v>0</v>
      </c>
      <c r="H66" s="2"/>
      <c r="I66" s="4"/>
    </row>
    <row r="67" spans="1:9" ht="37.5" x14ac:dyDescent="0.25">
      <c r="A67" s="115" t="s">
        <v>19</v>
      </c>
      <c r="B67" s="119">
        <v>244</v>
      </c>
      <c r="C67" s="119">
        <v>223</v>
      </c>
      <c r="D67" s="5">
        <f t="shared" si="26"/>
        <v>0</v>
      </c>
      <c r="E67" s="2"/>
      <c r="F67" s="2"/>
      <c r="G67" s="5">
        <f t="shared" si="27"/>
        <v>0</v>
      </c>
      <c r="H67" s="2"/>
      <c r="I67" s="4"/>
    </row>
    <row r="68" spans="1:9" ht="75" x14ac:dyDescent="0.25">
      <c r="A68" s="115" t="s">
        <v>20</v>
      </c>
      <c r="B68" s="119">
        <v>244</v>
      </c>
      <c r="C68" s="119">
        <v>223</v>
      </c>
      <c r="D68" s="5">
        <f t="shared" si="26"/>
        <v>0</v>
      </c>
      <c r="E68" s="2"/>
      <c r="F68" s="2"/>
      <c r="G68" s="5">
        <f t="shared" si="27"/>
        <v>0</v>
      </c>
      <c r="H68" s="2"/>
      <c r="I68" s="4"/>
    </row>
    <row r="69" spans="1:9" ht="75" x14ac:dyDescent="0.25">
      <c r="A69" s="115" t="s">
        <v>21</v>
      </c>
      <c r="B69" s="119">
        <v>244</v>
      </c>
      <c r="C69" s="119">
        <v>223</v>
      </c>
      <c r="D69" s="5">
        <f t="shared" si="26"/>
        <v>0</v>
      </c>
      <c r="E69" s="2"/>
      <c r="F69" s="2"/>
      <c r="G69" s="5">
        <f t="shared" si="27"/>
        <v>0</v>
      </c>
      <c r="H69" s="2"/>
      <c r="I69" s="4"/>
    </row>
    <row r="70" spans="1:9" ht="56.25" x14ac:dyDescent="0.25">
      <c r="A70" s="115" t="s">
        <v>22</v>
      </c>
      <c r="B70" s="119">
        <v>244</v>
      </c>
      <c r="C70" s="119">
        <v>223</v>
      </c>
      <c r="D70" s="5">
        <f t="shared" si="26"/>
        <v>0</v>
      </c>
      <c r="E70" s="2"/>
      <c r="F70" s="2"/>
      <c r="G70" s="5">
        <f t="shared" si="27"/>
        <v>0</v>
      </c>
      <c r="H70" s="2"/>
      <c r="I70" s="4"/>
    </row>
    <row r="71" spans="1:9" ht="168.75" x14ac:dyDescent="0.25">
      <c r="A71" s="115" t="s">
        <v>23</v>
      </c>
      <c r="B71" s="119">
        <v>244</v>
      </c>
      <c r="C71" s="119">
        <v>224</v>
      </c>
      <c r="D71" s="5">
        <f t="shared" si="26"/>
        <v>0</v>
      </c>
      <c r="E71" s="2"/>
      <c r="F71" s="2"/>
      <c r="G71" s="5">
        <f t="shared" si="27"/>
        <v>0</v>
      </c>
      <c r="H71" s="2"/>
      <c r="I71" s="4"/>
    </row>
    <row r="72" spans="1:9" ht="56.25" x14ac:dyDescent="0.25">
      <c r="A72" s="115" t="s">
        <v>24</v>
      </c>
      <c r="B72" s="119" t="s">
        <v>5</v>
      </c>
      <c r="C72" s="119">
        <v>225</v>
      </c>
      <c r="D72" s="2">
        <f t="shared" ref="D72" si="28">D73+D74</f>
        <v>0</v>
      </c>
      <c r="E72" s="2">
        <f>E73+E74</f>
        <v>0</v>
      </c>
      <c r="F72" s="2">
        <f t="shared" ref="F72:G72" si="29">F73+F74</f>
        <v>0</v>
      </c>
      <c r="G72" s="2">
        <f t="shared" si="29"/>
        <v>0</v>
      </c>
      <c r="H72" s="2">
        <f>H73+H74</f>
        <v>0</v>
      </c>
      <c r="I72" s="4">
        <f t="shared" ref="I72" si="30">I73+I74</f>
        <v>0</v>
      </c>
    </row>
    <row r="73" spans="1:9" ht="18.75" x14ac:dyDescent="0.25">
      <c r="A73" s="221" t="s">
        <v>6</v>
      </c>
      <c r="B73" s="119">
        <v>243</v>
      </c>
      <c r="C73" s="119">
        <v>225</v>
      </c>
      <c r="D73" s="5">
        <f t="shared" ref="D73:D83" si="31">E73+F73</f>
        <v>0</v>
      </c>
      <c r="E73" s="2"/>
      <c r="F73" s="2"/>
      <c r="G73" s="5">
        <f t="shared" ref="G73:G83" si="32">H73+I73</f>
        <v>0</v>
      </c>
      <c r="H73" s="2"/>
      <c r="I73" s="4"/>
    </row>
    <row r="74" spans="1:9" ht="18.75" x14ac:dyDescent="0.25">
      <c r="A74" s="221"/>
      <c r="B74" s="119">
        <v>244</v>
      </c>
      <c r="C74" s="119">
        <v>225</v>
      </c>
      <c r="D74" s="5">
        <f t="shared" si="31"/>
        <v>0</v>
      </c>
      <c r="E74" s="2"/>
      <c r="F74" s="2"/>
      <c r="G74" s="5">
        <f t="shared" si="32"/>
        <v>0</v>
      </c>
      <c r="H74" s="2"/>
      <c r="I74" s="4"/>
    </row>
    <row r="75" spans="1:9" ht="37.5" x14ac:dyDescent="0.25">
      <c r="A75" s="115" t="s">
        <v>58</v>
      </c>
      <c r="B75" s="119" t="s">
        <v>5</v>
      </c>
      <c r="C75" s="119">
        <v>226</v>
      </c>
      <c r="D75" s="5">
        <f t="shared" si="31"/>
        <v>0</v>
      </c>
      <c r="E75" s="2">
        <f>E76+E77</f>
        <v>0</v>
      </c>
      <c r="F75" s="2">
        <f>F76+F77</f>
        <v>0</v>
      </c>
      <c r="G75" s="5">
        <f t="shared" si="32"/>
        <v>0</v>
      </c>
      <c r="H75" s="2">
        <f>H76+H77</f>
        <v>0</v>
      </c>
      <c r="I75" s="4">
        <f>I76+I77</f>
        <v>0</v>
      </c>
    </row>
    <row r="76" spans="1:9" ht="18.75" x14ac:dyDescent="0.25">
      <c r="A76" s="221" t="s">
        <v>6</v>
      </c>
      <c r="B76" s="119">
        <v>243</v>
      </c>
      <c r="C76" s="119">
        <v>226</v>
      </c>
      <c r="D76" s="5">
        <f t="shared" si="31"/>
        <v>0</v>
      </c>
      <c r="E76" s="2"/>
      <c r="F76" s="2"/>
      <c r="G76" s="5">
        <f t="shared" si="32"/>
        <v>0</v>
      </c>
      <c r="H76" s="2"/>
      <c r="I76" s="4"/>
    </row>
    <row r="77" spans="1:9" ht="18.75" x14ac:dyDescent="0.25">
      <c r="A77" s="221"/>
      <c r="B77" s="119">
        <v>244</v>
      </c>
      <c r="C77" s="119">
        <v>226</v>
      </c>
      <c r="D77" s="5">
        <f t="shared" si="31"/>
        <v>0</v>
      </c>
      <c r="E77" s="2"/>
      <c r="F77" s="2"/>
      <c r="G77" s="5">
        <f t="shared" si="32"/>
        <v>0</v>
      </c>
      <c r="H77" s="2"/>
      <c r="I77" s="4"/>
    </row>
    <row r="78" spans="1:9" ht="18.75" x14ac:dyDescent="0.25">
      <c r="A78" s="115" t="s">
        <v>25</v>
      </c>
      <c r="B78" s="119">
        <v>244</v>
      </c>
      <c r="C78" s="119">
        <v>227</v>
      </c>
      <c r="D78" s="5">
        <f t="shared" si="31"/>
        <v>0</v>
      </c>
      <c r="E78" s="2"/>
      <c r="F78" s="2"/>
      <c r="G78" s="5">
        <f t="shared" si="32"/>
        <v>0</v>
      </c>
      <c r="H78" s="2"/>
      <c r="I78" s="4"/>
    </row>
    <row r="79" spans="1:9" ht="18.75" x14ac:dyDescent="0.25">
      <c r="A79" s="115" t="s">
        <v>30</v>
      </c>
      <c r="B79" s="119" t="s">
        <v>5</v>
      </c>
      <c r="C79" s="119">
        <v>290</v>
      </c>
      <c r="D79" s="5">
        <f t="shared" si="31"/>
        <v>0</v>
      </c>
      <c r="E79" s="2">
        <f>E81+E82</f>
        <v>0</v>
      </c>
      <c r="F79" s="2">
        <f>F81+F82</f>
        <v>0</v>
      </c>
      <c r="G79" s="5">
        <f t="shared" si="32"/>
        <v>0</v>
      </c>
      <c r="H79" s="2">
        <f>H81+H82</f>
        <v>0</v>
      </c>
      <c r="I79" s="4">
        <f>I81+I82</f>
        <v>0</v>
      </c>
    </row>
    <row r="80" spans="1:9" ht="18.75" x14ac:dyDescent="0.25">
      <c r="A80" s="115" t="s">
        <v>9</v>
      </c>
      <c r="B80" s="119"/>
      <c r="C80" s="119"/>
      <c r="D80" s="5">
        <f t="shared" si="31"/>
        <v>0</v>
      </c>
      <c r="E80" s="2"/>
      <c r="F80" s="2"/>
      <c r="G80" s="5">
        <f t="shared" si="32"/>
        <v>0</v>
      </c>
      <c r="H80" s="2"/>
      <c r="I80" s="4"/>
    </row>
    <row r="81" spans="1:9" ht="56.25" x14ac:dyDescent="0.25">
      <c r="A81" s="115" t="s">
        <v>34</v>
      </c>
      <c r="B81" s="119">
        <v>244</v>
      </c>
      <c r="C81" s="119">
        <v>296</v>
      </c>
      <c r="D81" s="5">
        <f t="shared" si="31"/>
        <v>0</v>
      </c>
      <c r="E81" s="2"/>
      <c r="F81" s="2"/>
      <c r="G81" s="5">
        <f t="shared" si="32"/>
        <v>0</v>
      </c>
      <c r="H81" s="2"/>
      <c r="I81" s="4"/>
    </row>
    <row r="82" spans="1:9" ht="56.25" x14ac:dyDescent="0.25">
      <c r="A82" s="115" t="s">
        <v>35</v>
      </c>
      <c r="B82" s="119">
        <v>244</v>
      </c>
      <c r="C82" s="119">
        <v>297</v>
      </c>
      <c r="D82" s="5">
        <f t="shared" si="31"/>
        <v>0</v>
      </c>
      <c r="E82" s="2"/>
      <c r="F82" s="2"/>
      <c r="G82" s="5">
        <f t="shared" si="32"/>
        <v>0</v>
      </c>
      <c r="H82" s="2"/>
      <c r="I82" s="4"/>
    </row>
    <row r="83" spans="1:9" ht="56.25" x14ac:dyDescent="0.25">
      <c r="A83" s="115" t="s">
        <v>59</v>
      </c>
      <c r="B83" s="119" t="s">
        <v>5</v>
      </c>
      <c r="C83" s="119">
        <v>300</v>
      </c>
      <c r="D83" s="5">
        <f t="shared" si="31"/>
        <v>0</v>
      </c>
      <c r="E83" s="2">
        <f>E85+E87+E86</f>
        <v>0</v>
      </c>
      <c r="F83" s="2">
        <f>F85+F87+F86</f>
        <v>0</v>
      </c>
      <c r="G83" s="5">
        <f t="shared" si="32"/>
        <v>0</v>
      </c>
      <c r="H83" s="2">
        <f>H85+H87+H86</f>
        <v>0</v>
      </c>
      <c r="I83" s="4">
        <f>I85+I87+I86</f>
        <v>0</v>
      </c>
    </row>
    <row r="84" spans="1:9" ht="18.75" x14ac:dyDescent="0.25">
      <c r="A84" s="115" t="s">
        <v>9</v>
      </c>
      <c r="B84" s="119"/>
      <c r="C84" s="119"/>
      <c r="D84" s="5"/>
      <c r="E84" s="2"/>
      <c r="F84" s="2"/>
      <c r="G84" s="5"/>
      <c r="H84" s="2"/>
      <c r="I84" s="4"/>
    </row>
    <row r="85" spans="1:9" ht="56.25" x14ac:dyDescent="0.25">
      <c r="A85" s="115" t="s">
        <v>36</v>
      </c>
      <c r="B85" s="119">
        <v>244</v>
      </c>
      <c r="C85" s="119">
        <v>310</v>
      </c>
      <c r="D85" s="5">
        <f t="shared" ref="D85:D87" si="33">E85+F85</f>
        <v>0</v>
      </c>
      <c r="E85" s="2"/>
      <c r="F85" s="2"/>
      <c r="G85" s="5">
        <f t="shared" ref="G85:G87" si="34">H85+I85</f>
        <v>0</v>
      </c>
      <c r="H85" s="2"/>
      <c r="I85" s="4"/>
    </row>
    <row r="86" spans="1:9" ht="75" x14ac:dyDescent="0.25">
      <c r="A86" s="115" t="s">
        <v>68</v>
      </c>
      <c r="B86" s="119">
        <v>244</v>
      </c>
      <c r="C86" s="119">
        <v>320</v>
      </c>
      <c r="D86" s="5">
        <f t="shared" si="33"/>
        <v>0</v>
      </c>
      <c r="E86" s="2"/>
      <c r="F86" s="2"/>
      <c r="G86" s="5">
        <f t="shared" si="34"/>
        <v>0</v>
      </c>
      <c r="H86" s="2"/>
      <c r="I86" s="4"/>
    </row>
    <row r="87" spans="1:9" ht="75" x14ac:dyDescent="0.25">
      <c r="A87" s="115" t="s">
        <v>60</v>
      </c>
      <c r="B87" s="119" t="s">
        <v>5</v>
      </c>
      <c r="C87" s="119">
        <v>340</v>
      </c>
      <c r="D87" s="5">
        <f t="shared" si="33"/>
        <v>0</v>
      </c>
      <c r="E87" s="2">
        <f>E89+E90+E91+E92+E93+E94+E95</f>
        <v>0</v>
      </c>
      <c r="F87" s="2">
        <f>F89+F90+F91+F92+F93+F94+F95</f>
        <v>0</v>
      </c>
      <c r="G87" s="5">
        <f t="shared" si="34"/>
        <v>0</v>
      </c>
      <c r="H87" s="2">
        <f>H89+H90+H91+H92+H93+H94+H95</f>
        <v>0</v>
      </c>
      <c r="I87" s="4">
        <f>I89+I90+I91+I92+I93+I94+I95</f>
        <v>0</v>
      </c>
    </row>
    <row r="88" spans="1:9" ht="18.75" x14ac:dyDescent="0.25">
      <c r="A88" s="115" t="s">
        <v>6</v>
      </c>
      <c r="B88" s="119"/>
      <c r="C88" s="119"/>
      <c r="D88" s="5"/>
      <c r="E88" s="2"/>
      <c r="F88" s="2"/>
      <c r="G88" s="5"/>
      <c r="H88" s="2"/>
      <c r="I88" s="4"/>
    </row>
    <row r="89" spans="1:9" ht="131.25" x14ac:dyDescent="0.25">
      <c r="A89" s="115" t="s">
        <v>37</v>
      </c>
      <c r="B89" s="119">
        <v>244</v>
      </c>
      <c r="C89" s="119">
        <v>341</v>
      </c>
      <c r="D89" s="5">
        <f t="shared" ref="D89:D95" si="35">E89+F89</f>
        <v>0</v>
      </c>
      <c r="E89" s="2"/>
      <c r="F89" s="2"/>
      <c r="G89" s="5">
        <f t="shared" ref="G89:G95" si="36">H89+I89</f>
        <v>0</v>
      </c>
      <c r="H89" s="2"/>
      <c r="I89" s="4"/>
    </row>
    <row r="90" spans="1:9" ht="56.25" x14ac:dyDescent="0.25">
      <c r="A90" s="115" t="s">
        <v>38</v>
      </c>
      <c r="B90" s="119">
        <v>244</v>
      </c>
      <c r="C90" s="119">
        <v>342</v>
      </c>
      <c r="D90" s="5">
        <f t="shared" si="35"/>
        <v>0</v>
      </c>
      <c r="E90" s="2"/>
      <c r="F90" s="2"/>
      <c r="G90" s="5">
        <f t="shared" si="36"/>
        <v>0</v>
      </c>
      <c r="H90" s="2"/>
      <c r="I90" s="4"/>
    </row>
    <row r="91" spans="1:9" ht="75" x14ac:dyDescent="0.25">
      <c r="A91" s="115" t="s">
        <v>39</v>
      </c>
      <c r="B91" s="119">
        <v>244</v>
      </c>
      <c r="C91" s="119">
        <v>343</v>
      </c>
      <c r="D91" s="5">
        <f t="shared" si="35"/>
        <v>0</v>
      </c>
      <c r="E91" s="2"/>
      <c r="F91" s="2"/>
      <c r="G91" s="5">
        <f t="shared" si="36"/>
        <v>0</v>
      </c>
      <c r="H91" s="2"/>
      <c r="I91" s="4"/>
    </row>
    <row r="92" spans="1:9" ht="75" x14ac:dyDescent="0.25">
      <c r="A92" s="115" t="s">
        <v>40</v>
      </c>
      <c r="B92" s="119">
        <v>244</v>
      </c>
      <c r="C92" s="119">
        <v>344</v>
      </c>
      <c r="D92" s="5">
        <f t="shared" si="35"/>
        <v>0</v>
      </c>
      <c r="E92" s="2"/>
      <c r="F92" s="2"/>
      <c r="G92" s="5">
        <f t="shared" si="36"/>
        <v>0</v>
      </c>
      <c r="H92" s="2"/>
      <c r="I92" s="4"/>
    </row>
    <row r="93" spans="1:9" ht="56.25" x14ac:dyDescent="0.25">
      <c r="A93" s="115" t="s">
        <v>41</v>
      </c>
      <c r="B93" s="119">
        <v>244</v>
      </c>
      <c r="C93" s="119">
        <v>345</v>
      </c>
      <c r="D93" s="5">
        <f t="shared" si="35"/>
        <v>0</v>
      </c>
      <c r="E93" s="2"/>
      <c r="F93" s="2"/>
      <c r="G93" s="5">
        <f t="shared" si="36"/>
        <v>0</v>
      </c>
      <c r="H93" s="2"/>
      <c r="I93" s="4"/>
    </row>
    <row r="94" spans="1:9" ht="75" x14ac:dyDescent="0.25">
      <c r="A94" s="115" t="s">
        <v>42</v>
      </c>
      <c r="B94" s="119">
        <v>244</v>
      </c>
      <c r="C94" s="119">
        <v>346</v>
      </c>
      <c r="D94" s="5">
        <f t="shared" si="35"/>
        <v>0</v>
      </c>
      <c r="E94" s="2"/>
      <c r="F94" s="2"/>
      <c r="G94" s="5">
        <f t="shared" si="36"/>
        <v>0</v>
      </c>
      <c r="H94" s="2"/>
      <c r="I94" s="4"/>
    </row>
    <row r="95" spans="1:9" ht="113.25" thickBot="1" x14ac:dyDescent="0.3">
      <c r="A95" s="32" t="s">
        <v>43</v>
      </c>
      <c r="B95" s="33">
        <v>244</v>
      </c>
      <c r="C95" s="33">
        <v>349</v>
      </c>
      <c r="D95" s="34">
        <f t="shared" si="35"/>
        <v>0</v>
      </c>
      <c r="E95" s="35"/>
      <c r="F95" s="35"/>
      <c r="G95" s="34">
        <f t="shared" si="36"/>
        <v>0</v>
      </c>
      <c r="H95" s="35"/>
      <c r="I95" s="100"/>
    </row>
    <row r="96" spans="1:9" ht="37.5" x14ac:dyDescent="0.3">
      <c r="A96" s="29" t="s">
        <v>52</v>
      </c>
      <c r="B96" s="224"/>
      <c r="C96" s="224"/>
      <c r="D96" s="10"/>
      <c r="E96" s="224"/>
      <c r="F96" s="224"/>
    </row>
    <row r="97" spans="1:6" ht="18.75" x14ac:dyDescent="0.3">
      <c r="A97" s="29"/>
      <c r="B97" s="223" t="s">
        <v>53</v>
      </c>
      <c r="C97" s="223"/>
      <c r="D97" s="10"/>
      <c r="E97" s="223" t="s">
        <v>54</v>
      </c>
      <c r="F97" s="223"/>
    </row>
    <row r="98" spans="1:6" ht="18.75" x14ac:dyDescent="0.3">
      <c r="A98" s="29"/>
      <c r="B98" s="10"/>
      <c r="C98" s="10"/>
      <c r="D98" s="10"/>
      <c r="E98" s="10"/>
      <c r="F98" s="10"/>
    </row>
    <row r="99" spans="1:6" ht="37.5" x14ac:dyDescent="0.3">
      <c r="A99" s="29" t="s">
        <v>55</v>
      </c>
      <c r="B99" s="224"/>
      <c r="C99" s="224"/>
      <c r="D99" s="10"/>
      <c r="E99" s="224"/>
      <c r="F99" s="224"/>
    </row>
    <row r="100" spans="1:6" ht="18.75" x14ac:dyDescent="0.3">
      <c r="A100" s="29"/>
      <c r="B100" s="223" t="s">
        <v>53</v>
      </c>
      <c r="C100" s="223"/>
      <c r="D100" s="10"/>
      <c r="E100" s="223" t="s">
        <v>54</v>
      </c>
      <c r="F100" s="223"/>
    </row>
    <row r="101" spans="1:6" ht="18.75" x14ac:dyDescent="0.3">
      <c r="A101" s="29"/>
      <c r="B101" s="116"/>
      <c r="C101" s="116"/>
      <c r="D101" s="10"/>
      <c r="E101" s="116"/>
      <c r="F101" s="116"/>
    </row>
    <row r="102" spans="1:6" ht="18.75" x14ac:dyDescent="0.3">
      <c r="A102" s="29" t="s">
        <v>56</v>
      </c>
      <c r="B102" s="224"/>
      <c r="C102" s="224"/>
      <c r="D102" s="10"/>
      <c r="E102" s="224"/>
      <c r="F102" s="224"/>
    </row>
    <row r="103" spans="1:6" ht="18.75" x14ac:dyDescent="0.3">
      <c r="A103" s="29"/>
      <c r="B103" s="223" t="s">
        <v>53</v>
      </c>
      <c r="C103" s="223"/>
      <c r="D103" s="10"/>
      <c r="E103" s="223" t="s">
        <v>54</v>
      </c>
      <c r="F103" s="223"/>
    </row>
    <row r="104" spans="1:6" ht="18.75" x14ac:dyDescent="0.3">
      <c r="A104" s="29" t="s">
        <v>57</v>
      </c>
      <c r="B104" s="10"/>
      <c r="C104" s="10"/>
      <c r="D104" s="10"/>
      <c r="E104" s="10"/>
      <c r="F104" s="10"/>
    </row>
    <row r="105" spans="1:6" ht="18.75" x14ac:dyDescent="0.3">
      <c r="A105" s="222" t="s">
        <v>44</v>
      </c>
      <c r="B105" s="222"/>
      <c r="C105" s="10"/>
      <c r="D105" s="10"/>
      <c r="E105" s="10"/>
      <c r="F105" s="10"/>
    </row>
  </sheetData>
  <mergeCells count="30">
    <mergeCell ref="B103:C103"/>
    <mergeCell ref="E103:F103"/>
    <mergeCell ref="A105:B105"/>
    <mergeCell ref="B99:C99"/>
    <mergeCell ref="E99:F99"/>
    <mergeCell ref="B100:C100"/>
    <mergeCell ref="E100:F100"/>
    <mergeCell ref="B102:C102"/>
    <mergeCell ref="E102:F102"/>
    <mergeCell ref="B97:C97"/>
    <mergeCell ref="E97:F97"/>
    <mergeCell ref="H6:I6"/>
    <mergeCell ref="E6:F6"/>
    <mergeCell ref="A12:I12"/>
    <mergeCell ref="A31:A32"/>
    <mergeCell ref="A34:A35"/>
    <mergeCell ref="A54:I54"/>
    <mergeCell ref="A73:A74"/>
    <mergeCell ref="A76:A77"/>
    <mergeCell ref="B96:C96"/>
    <mergeCell ref="E96:F96"/>
    <mergeCell ref="A1:I1"/>
    <mergeCell ref="A2:I2"/>
    <mergeCell ref="A5:A7"/>
    <mergeCell ref="B5:B7"/>
    <mergeCell ref="C5:C7"/>
    <mergeCell ref="D5:D7"/>
    <mergeCell ref="E5:F5"/>
    <mergeCell ref="G5:G7"/>
    <mergeCell ref="H5:I5"/>
  </mergeCells>
  <pageMargins left="1.3779527559055118" right="0.39370078740157483" top="0.98425196850393704" bottom="0.78740157480314965" header="0.31496062992125984" footer="0.31496062992125984"/>
  <pageSetup paperSize="9" scale="75" firstPageNumber="12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19"/>
  <sheetViews>
    <sheetView view="pageBreakPreview" zoomScaleNormal="100" zoomScaleSheetLayoutView="100" workbookViewId="0">
      <selection activeCell="B113" sqref="B113:C113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6" width="18.5703125" style="7" customWidth="1"/>
    <col min="7" max="16384" width="8.85546875" style="7"/>
  </cols>
  <sheetData>
    <row r="1" spans="1:6" ht="18.75" x14ac:dyDescent="0.25">
      <c r="A1" s="237" t="s">
        <v>261</v>
      </c>
      <c r="B1" s="237"/>
      <c r="C1" s="237"/>
      <c r="D1" s="237"/>
      <c r="E1" s="237"/>
      <c r="F1" s="237"/>
    </row>
    <row r="2" spans="1:6" ht="18.75" x14ac:dyDescent="0.25">
      <c r="A2" s="237" t="s">
        <v>457</v>
      </c>
      <c r="B2" s="237"/>
      <c r="C2" s="237"/>
      <c r="D2" s="237"/>
      <c r="E2" s="237"/>
      <c r="F2" s="237"/>
    </row>
    <row r="3" spans="1:6" x14ac:dyDescent="0.25">
      <c r="A3" s="30"/>
    </row>
    <row r="4" spans="1:6" ht="19.5" thickBot="1" x14ac:dyDescent="0.3">
      <c r="A4" s="6"/>
      <c r="F4" s="6" t="s">
        <v>51</v>
      </c>
    </row>
    <row r="5" spans="1:6" ht="52.9" customHeight="1" x14ac:dyDescent="0.25">
      <c r="A5" s="229" t="s">
        <v>0</v>
      </c>
      <c r="B5" s="231" t="s">
        <v>45</v>
      </c>
      <c r="C5" s="233" t="s">
        <v>46</v>
      </c>
      <c r="D5" s="231" t="s">
        <v>1</v>
      </c>
      <c r="E5" s="231" t="s">
        <v>197</v>
      </c>
      <c r="F5" s="241"/>
    </row>
    <row r="6" spans="1:6" ht="15.75" x14ac:dyDescent="0.25">
      <c r="A6" s="243"/>
      <c r="B6" s="242"/>
      <c r="C6" s="244"/>
      <c r="D6" s="242"/>
      <c r="E6" s="245" t="s">
        <v>6</v>
      </c>
      <c r="F6" s="246"/>
    </row>
    <row r="7" spans="1:6" ht="221.25" thickBot="1" x14ac:dyDescent="0.3">
      <c r="A7" s="230"/>
      <c r="B7" s="232"/>
      <c r="C7" s="234"/>
      <c r="D7" s="232"/>
      <c r="E7" s="37" t="s">
        <v>198</v>
      </c>
      <c r="F7" s="38" t="s">
        <v>199</v>
      </c>
    </row>
    <row r="8" spans="1:6" ht="15.75" thickBot="1" x14ac:dyDescent="0.3">
      <c r="A8" s="43">
        <v>1</v>
      </c>
      <c r="B8" s="44">
        <v>2</v>
      </c>
      <c r="C8" s="44">
        <v>3</v>
      </c>
      <c r="D8" s="44">
        <v>4</v>
      </c>
      <c r="E8" s="44">
        <v>5</v>
      </c>
      <c r="F8" s="45">
        <v>6</v>
      </c>
    </row>
    <row r="9" spans="1:6" ht="112.5" x14ac:dyDescent="0.25">
      <c r="A9" s="3" t="s">
        <v>69</v>
      </c>
      <c r="B9" s="58" t="s">
        <v>5</v>
      </c>
      <c r="C9" s="1" t="s">
        <v>5</v>
      </c>
      <c r="D9" s="5">
        <f>E9+F9</f>
        <v>58309759.240000002</v>
      </c>
      <c r="E9" s="2">
        <f>E10</f>
        <v>58309759.240000002</v>
      </c>
      <c r="F9" s="4"/>
    </row>
    <row r="10" spans="1:6" ht="18.75" x14ac:dyDescent="0.25">
      <c r="A10" s="3" t="s">
        <v>7</v>
      </c>
      <c r="B10" s="1" t="s">
        <v>5</v>
      </c>
      <c r="C10" s="1">
        <v>900</v>
      </c>
      <c r="D10" s="5">
        <f t="shared" ref="D10" si="0">E10+F10</f>
        <v>58309759.240000002</v>
      </c>
      <c r="E10" s="2">
        <f>E13+E46+E61+E94</f>
        <v>58309759.240000002</v>
      </c>
      <c r="F10" s="2">
        <f>F13+F46</f>
        <v>0</v>
      </c>
    </row>
    <row r="11" spans="1:6" ht="18.75" x14ac:dyDescent="0.25">
      <c r="A11" s="3" t="s">
        <v>6</v>
      </c>
      <c r="B11" s="1"/>
      <c r="C11" s="1"/>
      <c r="D11" s="5"/>
      <c r="E11" s="2"/>
      <c r="F11" s="4"/>
    </row>
    <row r="12" spans="1:6" ht="33.6" customHeight="1" x14ac:dyDescent="0.25">
      <c r="A12" s="238" t="s">
        <v>200</v>
      </c>
      <c r="B12" s="239"/>
      <c r="C12" s="239"/>
      <c r="D12" s="239"/>
      <c r="E12" s="239"/>
      <c r="F12" s="240"/>
    </row>
    <row r="13" spans="1:6" ht="18.75" x14ac:dyDescent="0.25">
      <c r="A13" s="48" t="s">
        <v>8</v>
      </c>
      <c r="B13" s="49" t="s">
        <v>5</v>
      </c>
      <c r="C13" s="49">
        <v>200</v>
      </c>
      <c r="D13" s="5">
        <f>E13+F13</f>
        <v>16601007.999999998</v>
      </c>
      <c r="E13" s="2">
        <f>E15+E18+E42</f>
        <v>16601007.999999998</v>
      </c>
      <c r="F13" s="2">
        <f>F15+F18+F42</f>
        <v>0</v>
      </c>
    </row>
    <row r="14" spans="1:6" ht="14.45" customHeight="1" x14ac:dyDescent="0.25">
      <c r="A14" s="48" t="s">
        <v>9</v>
      </c>
      <c r="B14" s="49"/>
      <c r="C14" s="49"/>
      <c r="D14" s="5"/>
      <c r="E14" s="2"/>
      <c r="F14" s="2"/>
    </row>
    <row r="15" spans="1:6" ht="75" x14ac:dyDescent="0.25">
      <c r="A15" s="48" t="s">
        <v>10</v>
      </c>
      <c r="B15" s="49" t="s">
        <v>5</v>
      </c>
      <c r="C15" s="49">
        <v>210</v>
      </c>
      <c r="D15" s="5">
        <f t="shared" ref="D15:D50" si="1">E15+F15</f>
        <v>0</v>
      </c>
      <c r="E15" s="2">
        <f>E17</f>
        <v>0</v>
      </c>
      <c r="F15" s="2">
        <f>F17</f>
        <v>0</v>
      </c>
    </row>
    <row r="16" spans="1:6" ht="18.75" x14ac:dyDescent="0.25">
      <c r="A16" s="48" t="s">
        <v>9</v>
      </c>
      <c r="B16" s="49"/>
      <c r="C16" s="49"/>
      <c r="D16" s="5"/>
      <c r="E16" s="2"/>
      <c r="F16" s="2"/>
    </row>
    <row r="17" spans="1:6" ht="93.75" x14ac:dyDescent="0.25">
      <c r="A17" s="48" t="s">
        <v>201</v>
      </c>
      <c r="B17" s="49">
        <v>244</v>
      </c>
      <c r="C17" s="49">
        <v>214</v>
      </c>
      <c r="D17" s="5">
        <f>E17+F17</f>
        <v>0</v>
      </c>
      <c r="E17" s="2">
        <f>'гос.зад на 2022 год '!E131</f>
        <v>0</v>
      </c>
      <c r="F17" s="2"/>
    </row>
    <row r="18" spans="1:6" ht="37.5" x14ac:dyDescent="0.25">
      <c r="A18" s="48" t="s">
        <v>14</v>
      </c>
      <c r="B18" s="49" t="s">
        <v>5</v>
      </c>
      <c r="C18" s="49">
        <v>220</v>
      </c>
      <c r="D18" s="5">
        <f t="shared" si="1"/>
        <v>16601007.999999998</v>
      </c>
      <c r="E18" s="2">
        <f>E20+E21+E22+E33+E34+E37+E40+E41</f>
        <v>16601007.999999998</v>
      </c>
      <c r="F18" s="2">
        <f>F20+F21+F22+F33+F34+F37+F40</f>
        <v>0</v>
      </c>
    </row>
    <row r="19" spans="1:6" ht="18.75" x14ac:dyDescent="0.25">
      <c r="A19" s="48" t="s">
        <v>9</v>
      </c>
      <c r="B19" s="49"/>
      <c r="C19" s="49"/>
      <c r="D19" s="5"/>
      <c r="E19" s="2"/>
      <c r="F19" s="2"/>
    </row>
    <row r="20" spans="1:6" ht="18.75" x14ac:dyDescent="0.25">
      <c r="A20" s="48" t="s">
        <v>15</v>
      </c>
      <c r="B20" s="49">
        <v>244</v>
      </c>
      <c r="C20" s="49">
        <v>221</v>
      </c>
      <c r="D20" s="5">
        <f t="shared" si="1"/>
        <v>1389880</v>
      </c>
      <c r="E20" s="2">
        <f>'гос.зад на 2022 год '!E134</f>
        <v>1389880</v>
      </c>
      <c r="F20" s="2"/>
    </row>
    <row r="21" spans="1:6" ht="37.5" x14ac:dyDescent="0.25">
      <c r="A21" s="48" t="s">
        <v>16</v>
      </c>
      <c r="B21" s="49">
        <v>244</v>
      </c>
      <c r="C21" s="49">
        <v>222</v>
      </c>
      <c r="D21" s="5">
        <f t="shared" si="1"/>
        <v>0</v>
      </c>
      <c r="E21" s="2">
        <f>'гос.зад на 2022 год '!E135</f>
        <v>0</v>
      </c>
      <c r="F21" s="2"/>
    </row>
    <row r="22" spans="1:6" ht="37.5" x14ac:dyDescent="0.25">
      <c r="A22" s="48" t="s">
        <v>17</v>
      </c>
      <c r="B22" s="49" t="s">
        <v>5</v>
      </c>
      <c r="C22" s="49">
        <v>223</v>
      </c>
      <c r="D22" s="5">
        <f t="shared" si="1"/>
        <v>2</v>
      </c>
      <c r="E22" s="2">
        <f t="shared" ref="E22:F22" si="2">E25+E27+E29+E30+E31</f>
        <v>2</v>
      </c>
      <c r="F22" s="2">
        <f t="shared" si="2"/>
        <v>0</v>
      </c>
    </row>
    <row r="23" spans="1:6" ht="18.75" x14ac:dyDescent="0.25">
      <c r="A23" s="48" t="s">
        <v>6</v>
      </c>
      <c r="B23" s="49"/>
      <c r="C23" s="49"/>
      <c r="D23" s="5"/>
      <c r="E23" s="2"/>
      <c r="F23" s="2"/>
    </row>
    <row r="24" spans="1:6" ht="56.25" x14ac:dyDescent="0.25">
      <c r="A24" s="190" t="s">
        <v>18</v>
      </c>
      <c r="B24" s="191">
        <v>244</v>
      </c>
      <c r="C24" s="191">
        <v>223</v>
      </c>
      <c r="D24" s="5">
        <f t="shared" ref="D24" si="3">E24+F24</f>
        <v>0</v>
      </c>
      <c r="E24" s="2">
        <f>'гос.зад на 2022 год '!E137</f>
        <v>0</v>
      </c>
      <c r="F24" s="2"/>
    </row>
    <row r="25" spans="1:6" ht="56.25" x14ac:dyDescent="0.25">
      <c r="A25" s="48" t="s">
        <v>18</v>
      </c>
      <c r="B25" s="49">
        <v>247</v>
      </c>
      <c r="C25" s="49">
        <v>223</v>
      </c>
      <c r="D25" s="5">
        <f t="shared" si="1"/>
        <v>0</v>
      </c>
      <c r="E25" s="2">
        <f>'гос.зад на 2022 год '!E138</f>
        <v>0</v>
      </c>
      <c r="F25" s="2"/>
    </row>
    <row r="26" spans="1:6" ht="37.5" x14ac:dyDescent="0.25">
      <c r="A26" s="190" t="s">
        <v>19</v>
      </c>
      <c r="B26" s="191">
        <v>244</v>
      </c>
      <c r="C26" s="191">
        <v>223</v>
      </c>
      <c r="D26" s="5">
        <f t="shared" ref="D26" si="4">E26+F26</f>
        <v>0</v>
      </c>
      <c r="E26" s="2">
        <f>'гос.зад на 2022 год '!E139</f>
        <v>0</v>
      </c>
      <c r="F26" s="2"/>
    </row>
    <row r="27" spans="1:6" ht="37.5" x14ac:dyDescent="0.25">
      <c r="A27" s="48" t="s">
        <v>19</v>
      </c>
      <c r="B27" s="49">
        <v>247</v>
      </c>
      <c r="C27" s="49">
        <v>223</v>
      </c>
      <c r="D27" s="5">
        <f t="shared" si="1"/>
        <v>0</v>
      </c>
      <c r="E27" s="2">
        <f>'гос.зад на 2022 год '!E140</f>
        <v>0</v>
      </c>
      <c r="F27" s="2"/>
    </row>
    <row r="28" spans="1:6" ht="75" x14ac:dyDescent="0.25">
      <c r="A28" s="190" t="s">
        <v>20</v>
      </c>
      <c r="B28" s="191">
        <v>244</v>
      </c>
      <c r="C28" s="191">
        <v>223</v>
      </c>
      <c r="D28" s="5">
        <f t="shared" ref="D28" si="5">E28+F28</f>
        <v>0</v>
      </c>
      <c r="E28" s="2">
        <f>'гос.зад на 2022 год '!E141</f>
        <v>0</v>
      </c>
      <c r="F28" s="2"/>
    </row>
    <row r="29" spans="1:6" ht="75.599999999999994" customHeight="1" x14ac:dyDescent="0.25">
      <c r="A29" s="48" t="s">
        <v>20</v>
      </c>
      <c r="B29" s="49">
        <v>247</v>
      </c>
      <c r="C29" s="49">
        <v>223</v>
      </c>
      <c r="D29" s="5">
        <f t="shared" si="1"/>
        <v>2</v>
      </c>
      <c r="E29" s="2">
        <f>'гос.зад на 2022 год '!E142</f>
        <v>2</v>
      </c>
      <c r="F29" s="2"/>
    </row>
    <row r="30" spans="1:6" ht="75" x14ac:dyDescent="0.25">
      <c r="A30" s="48" t="s">
        <v>21</v>
      </c>
      <c r="B30" s="49">
        <v>244</v>
      </c>
      <c r="C30" s="49">
        <v>223</v>
      </c>
      <c r="D30" s="5">
        <f t="shared" si="1"/>
        <v>0</v>
      </c>
      <c r="E30" s="2">
        <f>'гос.зад на 2022 год '!E143</f>
        <v>0</v>
      </c>
      <c r="F30" s="2"/>
    </row>
    <row r="31" spans="1:6" ht="56.25" x14ac:dyDescent="0.25">
      <c r="A31" s="48" t="s">
        <v>22</v>
      </c>
      <c r="B31" s="49">
        <v>244</v>
      </c>
      <c r="C31" s="49">
        <v>223</v>
      </c>
      <c r="D31" s="5">
        <f t="shared" si="1"/>
        <v>0</v>
      </c>
      <c r="E31" s="2">
        <f>'гос.зад на 2022 год '!E144</f>
        <v>0</v>
      </c>
      <c r="F31" s="2"/>
    </row>
    <row r="32" spans="1:6" ht="56.25" x14ac:dyDescent="0.25">
      <c r="A32" s="195" t="s">
        <v>442</v>
      </c>
      <c r="B32" s="196">
        <v>244</v>
      </c>
      <c r="C32" s="196">
        <v>223</v>
      </c>
      <c r="D32" s="5">
        <f t="shared" ref="D32" si="6">E32+F32</f>
        <v>0</v>
      </c>
      <c r="E32" s="2">
        <f>'гос.зад на 2022 год '!E145</f>
        <v>0</v>
      </c>
      <c r="F32" s="2"/>
    </row>
    <row r="33" spans="1:6" ht="177.75" customHeight="1" x14ac:dyDescent="0.25">
      <c r="A33" s="48" t="s">
        <v>23</v>
      </c>
      <c r="B33" s="49">
        <v>244</v>
      </c>
      <c r="C33" s="49">
        <v>224</v>
      </c>
      <c r="D33" s="5">
        <f t="shared" si="1"/>
        <v>0</v>
      </c>
      <c r="E33" s="2">
        <f>'гос.зад на 2022 год '!E146</f>
        <v>0</v>
      </c>
      <c r="F33" s="2"/>
    </row>
    <row r="34" spans="1:6" ht="56.25" x14ac:dyDescent="0.25">
      <c r="A34" s="48" t="s">
        <v>24</v>
      </c>
      <c r="B34" s="49" t="s">
        <v>5</v>
      </c>
      <c r="C34" s="49">
        <v>225</v>
      </c>
      <c r="D34" s="2">
        <f t="shared" ref="D34:F34" si="7">D35+D36</f>
        <v>8707959.9999999981</v>
      </c>
      <c r="E34" s="2">
        <f>E35+E36</f>
        <v>8707959.9999999981</v>
      </c>
      <c r="F34" s="2">
        <f t="shared" si="7"/>
        <v>0</v>
      </c>
    </row>
    <row r="35" spans="1:6" ht="18.75" x14ac:dyDescent="0.25">
      <c r="A35" s="221" t="s">
        <v>6</v>
      </c>
      <c r="B35" s="49">
        <v>243</v>
      </c>
      <c r="C35" s="49">
        <v>225</v>
      </c>
      <c r="D35" s="5">
        <f t="shared" si="1"/>
        <v>0</v>
      </c>
      <c r="E35" s="2">
        <f>'гос.зад на 2022 год '!E148</f>
        <v>0</v>
      </c>
      <c r="F35" s="2"/>
    </row>
    <row r="36" spans="1:6" ht="18.75" x14ac:dyDescent="0.25">
      <c r="A36" s="221"/>
      <c r="B36" s="49">
        <v>244</v>
      </c>
      <c r="C36" s="49">
        <v>225</v>
      </c>
      <c r="D36" s="5">
        <f>E36+F36</f>
        <v>8707959.9999999981</v>
      </c>
      <c r="E36" s="2">
        <f>'гос.зад на 2022 год '!E149</f>
        <v>8707959.9999999981</v>
      </c>
      <c r="F36" s="2"/>
    </row>
    <row r="37" spans="1:6" ht="37.5" x14ac:dyDescent="0.25">
      <c r="A37" s="48" t="s">
        <v>58</v>
      </c>
      <c r="B37" s="49" t="s">
        <v>5</v>
      </c>
      <c r="C37" s="49">
        <v>226</v>
      </c>
      <c r="D37" s="5">
        <f t="shared" si="1"/>
        <v>6503166</v>
      </c>
      <c r="E37" s="2">
        <f>E38+E39</f>
        <v>6503166</v>
      </c>
      <c r="F37" s="2">
        <f>F38+F39</f>
        <v>0</v>
      </c>
    </row>
    <row r="38" spans="1:6" ht="18.75" x14ac:dyDescent="0.25">
      <c r="A38" s="221" t="s">
        <v>6</v>
      </c>
      <c r="B38" s="49">
        <v>243</v>
      </c>
      <c r="C38" s="49">
        <v>226</v>
      </c>
      <c r="D38" s="5">
        <f t="shared" si="1"/>
        <v>0</v>
      </c>
      <c r="E38" s="2">
        <f>'гос.зад на 2022 год '!E151</f>
        <v>0</v>
      </c>
      <c r="F38" s="2"/>
    </row>
    <row r="39" spans="1:6" ht="18.75" x14ac:dyDescent="0.25">
      <c r="A39" s="221"/>
      <c r="B39" s="49">
        <v>244</v>
      </c>
      <c r="C39" s="49">
        <v>226</v>
      </c>
      <c r="D39" s="5">
        <f t="shared" si="1"/>
        <v>6503166</v>
      </c>
      <c r="E39" s="2">
        <f>'гос.зад на 2022 год '!E152</f>
        <v>6503166</v>
      </c>
      <c r="F39" s="2"/>
    </row>
    <row r="40" spans="1:6" ht="18.75" x14ac:dyDescent="0.25">
      <c r="A40" s="48" t="s">
        <v>25</v>
      </c>
      <c r="B40" s="49">
        <v>244</v>
      </c>
      <c r="C40" s="49">
        <v>227</v>
      </c>
      <c r="D40" s="5">
        <f t="shared" si="1"/>
        <v>0</v>
      </c>
      <c r="E40" s="2">
        <f>'гос.зад на 2022 год '!E153</f>
        <v>0</v>
      </c>
      <c r="F40" s="2"/>
    </row>
    <row r="41" spans="1:6" ht="56.25" x14ac:dyDescent="0.25">
      <c r="A41" s="170" t="s">
        <v>345</v>
      </c>
      <c r="B41" s="171">
        <v>244</v>
      </c>
      <c r="C41" s="171">
        <v>228</v>
      </c>
      <c r="D41" s="5">
        <f>E41+F41</f>
        <v>0</v>
      </c>
      <c r="E41" s="2">
        <f>'гос.зад на 2022 год '!E154</f>
        <v>0</v>
      </c>
      <c r="F41" s="2"/>
    </row>
    <row r="42" spans="1:6" ht="18.75" x14ac:dyDescent="0.25">
      <c r="A42" s="48" t="s">
        <v>30</v>
      </c>
      <c r="B42" s="49" t="s">
        <v>5</v>
      </c>
      <c r="C42" s="49">
        <v>290</v>
      </c>
      <c r="D42" s="5">
        <f t="shared" si="1"/>
        <v>0</v>
      </c>
      <c r="E42" s="2">
        <f>E44+E45</f>
        <v>0</v>
      </c>
      <c r="F42" s="2">
        <f>F44+F45</f>
        <v>0</v>
      </c>
    </row>
    <row r="43" spans="1:6" ht="18.75" x14ac:dyDescent="0.25">
      <c r="A43" s="48" t="s">
        <v>9</v>
      </c>
      <c r="B43" s="49"/>
      <c r="C43" s="49"/>
      <c r="D43" s="5">
        <f t="shared" si="1"/>
        <v>0</v>
      </c>
      <c r="E43" s="2"/>
      <c r="F43" s="2"/>
    </row>
    <row r="44" spans="1:6" ht="56.25" x14ac:dyDescent="0.25">
      <c r="A44" s="48" t="s">
        <v>34</v>
      </c>
      <c r="B44" s="49">
        <v>244</v>
      </c>
      <c r="C44" s="49">
        <v>296</v>
      </c>
      <c r="D44" s="5">
        <f t="shared" si="1"/>
        <v>0</v>
      </c>
      <c r="E44" s="2">
        <f>'гос.зад на 2022 год '!E157</f>
        <v>0</v>
      </c>
      <c r="F44" s="2"/>
    </row>
    <row r="45" spans="1:6" ht="56.25" x14ac:dyDescent="0.25">
      <c r="A45" s="48" t="s">
        <v>35</v>
      </c>
      <c r="B45" s="49">
        <v>244</v>
      </c>
      <c r="C45" s="49">
        <v>297</v>
      </c>
      <c r="D45" s="5">
        <f t="shared" si="1"/>
        <v>0</v>
      </c>
      <c r="E45" s="2">
        <f>'гос.зад на 2022 год '!E158</f>
        <v>0</v>
      </c>
      <c r="F45" s="2"/>
    </row>
    <row r="46" spans="1:6" ht="56.25" x14ac:dyDescent="0.25">
      <c r="A46" s="48" t="s">
        <v>59</v>
      </c>
      <c r="B46" s="49" t="s">
        <v>5</v>
      </c>
      <c r="C46" s="49">
        <v>300</v>
      </c>
      <c r="D46" s="5">
        <f t="shared" si="1"/>
        <v>244800</v>
      </c>
      <c r="E46" s="2">
        <f>E48+E50+E49</f>
        <v>244800</v>
      </c>
      <c r="F46" s="2">
        <f>F48+F50+F49</f>
        <v>0</v>
      </c>
    </row>
    <row r="47" spans="1:6" ht="18.75" x14ac:dyDescent="0.25">
      <c r="A47" s="48" t="s">
        <v>9</v>
      </c>
      <c r="B47" s="49"/>
      <c r="C47" s="49"/>
      <c r="D47" s="5"/>
      <c r="E47" s="2"/>
      <c r="F47" s="2"/>
    </row>
    <row r="48" spans="1:6" ht="14.45" customHeight="1" x14ac:dyDescent="0.25">
      <c r="A48" s="48" t="s">
        <v>36</v>
      </c>
      <c r="B48" s="49">
        <v>244</v>
      </c>
      <c r="C48" s="49">
        <v>310</v>
      </c>
      <c r="D48" s="5">
        <f t="shared" si="1"/>
        <v>0</v>
      </c>
      <c r="E48" s="2">
        <f>'гос.зад на 2022 год '!E161</f>
        <v>0</v>
      </c>
      <c r="F48" s="2"/>
    </row>
    <row r="49" spans="1:6" ht="75" x14ac:dyDescent="0.25">
      <c r="A49" s="48" t="s">
        <v>68</v>
      </c>
      <c r="B49" s="49">
        <v>244</v>
      </c>
      <c r="C49" s="49">
        <v>320</v>
      </c>
      <c r="D49" s="5">
        <f t="shared" si="1"/>
        <v>0</v>
      </c>
      <c r="E49" s="2">
        <f>'гос.зад на 2022 год '!E162</f>
        <v>0</v>
      </c>
      <c r="F49" s="2"/>
    </row>
    <row r="50" spans="1:6" ht="75" x14ac:dyDescent="0.25">
      <c r="A50" s="48" t="s">
        <v>60</v>
      </c>
      <c r="B50" s="49" t="s">
        <v>5</v>
      </c>
      <c r="C50" s="49">
        <v>340</v>
      </c>
      <c r="D50" s="5">
        <f t="shared" si="1"/>
        <v>244800</v>
      </c>
      <c r="E50" s="2">
        <f>E52+E53+E54+E55+E56+E57+E58+E59</f>
        <v>244800</v>
      </c>
      <c r="F50" s="2">
        <f>F52+F53+F54+F55+F56+F57+F59</f>
        <v>0</v>
      </c>
    </row>
    <row r="51" spans="1:6" ht="18.75" x14ac:dyDescent="0.25">
      <c r="A51" s="48" t="s">
        <v>6</v>
      </c>
      <c r="B51" s="49"/>
      <c r="C51" s="49"/>
      <c r="D51" s="5"/>
      <c r="E51" s="2"/>
      <c r="F51" s="2"/>
    </row>
    <row r="52" spans="1:6" ht="131.25" x14ac:dyDescent="0.25">
      <c r="A52" s="48" t="s">
        <v>37</v>
      </c>
      <c r="B52" s="49">
        <v>244</v>
      </c>
      <c r="C52" s="49">
        <v>341</v>
      </c>
      <c r="D52" s="5">
        <f t="shared" ref="D52:D59" si="8">E52+F52</f>
        <v>0</v>
      </c>
      <c r="E52" s="2">
        <f>'гос.зад на 2022 год '!E165</f>
        <v>0</v>
      </c>
      <c r="F52" s="2"/>
    </row>
    <row r="53" spans="1:6" ht="56.25" x14ac:dyDescent="0.25">
      <c r="A53" s="48" t="s">
        <v>38</v>
      </c>
      <c r="B53" s="49">
        <v>244</v>
      </c>
      <c r="C53" s="49">
        <v>342</v>
      </c>
      <c r="D53" s="5">
        <f t="shared" si="8"/>
        <v>0</v>
      </c>
      <c r="E53" s="2">
        <f>'гос.зад на 2022 год '!E166</f>
        <v>0</v>
      </c>
      <c r="F53" s="2"/>
    </row>
    <row r="54" spans="1:6" ht="75" x14ac:dyDescent="0.25">
      <c r="A54" s="48" t="s">
        <v>39</v>
      </c>
      <c r="B54" s="49">
        <v>244</v>
      </c>
      <c r="C54" s="49">
        <v>343</v>
      </c>
      <c r="D54" s="5">
        <f t="shared" si="8"/>
        <v>244800</v>
      </c>
      <c r="E54" s="2">
        <f>'гос.зад на 2022 год '!E167</f>
        <v>244800</v>
      </c>
      <c r="F54" s="2"/>
    </row>
    <row r="55" spans="1:6" ht="75" x14ac:dyDescent="0.25">
      <c r="A55" s="48" t="s">
        <v>40</v>
      </c>
      <c r="B55" s="49">
        <v>244</v>
      </c>
      <c r="C55" s="49">
        <v>344</v>
      </c>
      <c r="D55" s="5">
        <f t="shared" si="8"/>
        <v>0</v>
      </c>
      <c r="E55" s="2">
        <f>'гос.зад на 2022 год '!E168</f>
        <v>0</v>
      </c>
      <c r="F55" s="2"/>
    </row>
    <row r="56" spans="1:6" ht="56.25" x14ac:dyDescent="0.25">
      <c r="A56" s="48" t="s">
        <v>41</v>
      </c>
      <c r="B56" s="49">
        <v>244</v>
      </c>
      <c r="C56" s="49">
        <v>345</v>
      </c>
      <c r="D56" s="5">
        <f t="shared" si="8"/>
        <v>0</v>
      </c>
      <c r="E56" s="2">
        <f>'гос.зад на 2022 год '!E169</f>
        <v>0</v>
      </c>
      <c r="F56" s="2"/>
    </row>
    <row r="57" spans="1:6" ht="75" x14ac:dyDescent="0.25">
      <c r="A57" s="48" t="s">
        <v>42</v>
      </c>
      <c r="B57" s="49">
        <v>244</v>
      </c>
      <c r="C57" s="49">
        <v>346</v>
      </c>
      <c r="D57" s="5">
        <f>E57+F57</f>
        <v>0</v>
      </c>
      <c r="E57" s="2">
        <f>'гос.зад на 2022 год '!E170</f>
        <v>0</v>
      </c>
      <c r="F57" s="2"/>
    </row>
    <row r="58" spans="1:6" ht="112.5" x14ac:dyDescent="0.25">
      <c r="A58" s="170" t="s">
        <v>346</v>
      </c>
      <c r="B58" s="171">
        <v>244</v>
      </c>
      <c r="C58" s="171">
        <v>347</v>
      </c>
      <c r="D58" s="5">
        <f>E58+F58</f>
        <v>0</v>
      </c>
      <c r="E58" s="2">
        <f>'гос.зад на 2022 год '!E171</f>
        <v>0</v>
      </c>
      <c r="F58" s="2"/>
    </row>
    <row r="59" spans="1:6" ht="112.5" x14ac:dyDescent="0.25">
      <c r="A59" s="48" t="s">
        <v>43</v>
      </c>
      <c r="B59" s="49">
        <v>244</v>
      </c>
      <c r="C59" s="49">
        <v>349</v>
      </c>
      <c r="D59" s="5">
        <f t="shared" si="8"/>
        <v>0</v>
      </c>
      <c r="E59" s="2">
        <f>'гос.зад на 2022 год '!E172</f>
        <v>0</v>
      </c>
      <c r="F59" s="2"/>
    </row>
    <row r="60" spans="1:6" ht="32.450000000000003" customHeight="1" x14ac:dyDescent="0.25">
      <c r="A60" s="238" t="s">
        <v>202</v>
      </c>
      <c r="B60" s="239"/>
      <c r="C60" s="239"/>
      <c r="D60" s="239"/>
      <c r="E60" s="239"/>
      <c r="F60" s="240"/>
    </row>
    <row r="61" spans="1:6" ht="18.75" x14ac:dyDescent="0.25">
      <c r="A61" s="48" t="s">
        <v>8</v>
      </c>
      <c r="B61" s="49" t="s">
        <v>5</v>
      </c>
      <c r="C61" s="49">
        <v>200</v>
      </c>
      <c r="D61" s="5">
        <f t="shared" ref="D61" si="9">E61+F61</f>
        <v>36836030.32</v>
      </c>
      <c r="E61" s="2">
        <f>E63+E66+E90</f>
        <v>36836030.32</v>
      </c>
      <c r="F61" s="2">
        <f>F63+F66+F90</f>
        <v>0</v>
      </c>
    </row>
    <row r="62" spans="1:6" ht="18.75" x14ac:dyDescent="0.25">
      <c r="A62" s="48" t="s">
        <v>9</v>
      </c>
      <c r="B62" s="49"/>
      <c r="C62" s="49"/>
      <c r="D62" s="5"/>
      <c r="E62" s="2"/>
      <c r="F62" s="2"/>
    </row>
    <row r="63" spans="1:6" ht="75" x14ac:dyDescent="0.25">
      <c r="A63" s="48" t="s">
        <v>10</v>
      </c>
      <c r="B63" s="49" t="s">
        <v>5</v>
      </c>
      <c r="C63" s="49">
        <v>210</v>
      </c>
      <c r="D63" s="5">
        <f t="shared" ref="D63" si="10">E63+F63</f>
        <v>0</v>
      </c>
      <c r="E63" s="2">
        <f>E65</f>
        <v>0</v>
      </c>
      <c r="F63" s="2">
        <f>F65</f>
        <v>0</v>
      </c>
    </row>
    <row r="64" spans="1:6" ht="18.75" x14ac:dyDescent="0.25">
      <c r="A64" s="48" t="s">
        <v>9</v>
      </c>
      <c r="B64" s="49"/>
      <c r="C64" s="49"/>
      <c r="D64" s="5"/>
      <c r="E64" s="2"/>
      <c r="F64" s="2"/>
    </row>
    <row r="65" spans="1:6" ht="93.75" x14ac:dyDescent="0.25">
      <c r="A65" s="48" t="s">
        <v>201</v>
      </c>
      <c r="B65" s="49">
        <v>244</v>
      </c>
      <c r="C65" s="49">
        <v>214</v>
      </c>
      <c r="D65" s="5">
        <f>E65+F65</f>
        <v>0</v>
      </c>
      <c r="E65" s="2">
        <f>'гос.зад на 2022 год '!E178</f>
        <v>0</v>
      </c>
      <c r="F65" s="2"/>
    </row>
    <row r="66" spans="1:6" ht="37.5" x14ac:dyDescent="0.25">
      <c r="A66" s="48" t="s">
        <v>14</v>
      </c>
      <c r="B66" s="49" t="s">
        <v>5</v>
      </c>
      <c r="C66" s="49">
        <v>220</v>
      </c>
      <c r="D66" s="5">
        <f t="shared" ref="D66" si="11">E66+F66</f>
        <v>36836030.32</v>
      </c>
      <c r="E66" s="2">
        <f>E68+E69+E70+E81+E82+E85+E88+E89</f>
        <v>36836030.32</v>
      </c>
      <c r="F66" s="2">
        <f>F68+F69+F70+F81+F82+F85+F88</f>
        <v>0</v>
      </c>
    </row>
    <row r="67" spans="1:6" ht="18.75" x14ac:dyDescent="0.25">
      <c r="A67" s="48" t="s">
        <v>9</v>
      </c>
      <c r="B67" s="49"/>
      <c r="C67" s="49"/>
      <c r="D67" s="5"/>
      <c r="E67" s="2"/>
      <c r="F67" s="2"/>
    </row>
    <row r="68" spans="1:6" ht="18.75" x14ac:dyDescent="0.25">
      <c r="A68" s="48" t="s">
        <v>15</v>
      </c>
      <c r="B68" s="49">
        <v>244</v>
      </c>
      <c r="C68" s="49">
        <v>221</v>
      </c>
      <c r="D68" s="5">
        <f t="shared" ref="D68:D70" si="12">E68+F68</f>
        <v>354913.31999999983</v>
      </c>
      <c r="E68" s="2">
        <f>'гос.зад на 2022 год '!E181</f>
        <v>354913.31999999983</v>
      </c>
      <c r="F68" s="2"/>
    </row>
    <row r="69" spans="1:6" ht="37.5" x14ac:dyDescent="0.25">
      <c r="A69" s="48" t="s">
        <v>16</v>
      </c>
      <c r="B69" s="49">
        <v>244</v>
      </c>
      <c r="C69" s="49">
        <v>222</v>
      </c>
      <c r="D69" s="5">
        <f t="shared" si="12"/>
        <v>4000</v>
      </c>
      <c r="E69" s="2">
        <f>'гос.зад на 2022 год '!E182</f>
        <v>4000</v>
      </c>
      <c r="F69" s="2"/>
    </row>
    <row r="70" spans="1:6" ht="37.5" x14ac:dyDescent="0.25">
      <c r="A70" s="48" t="s">
        <v>17</v>
      </c>
      <c r="B70" s="49" t="s">
        <v>5</v>
      </c>
      <c r="C70" s="49">
        <v>223</v>
      </c>
      <c r="D70" s="5">
        <f t="shared" si="12"/>
        <v>21441317.210000001</v>
      </c>
      <c r="E70" s="2">
        <f>E73+E75+E77+E78+E79+E80</f>
        <v>21441317.210000001</v>
      </c>
      <c r="F70" s="2">
        <f t="shared" ref="F70" si="13">F73+F75+F77+F78+F79</f>
        <v>0</v>
      </c>
    </row>
    <row r="71" spans="1:6" ht="18.75" x14ac:dyDescent="0.25">
      <c r="A71" s="48" t="s">
        <v>6</v>
      </c>
      <c r="B71" s="49"/>
      <c r="C71" s="49"/>
      <c r="D71" s="5"/>
      <c r="E71" s="2"/>
      <c r="F71" s="2"/>
    </row>
    <row r="72" spans="1:6" ht="56.25" x14ac:dyDescent="0.25">
      <c r="A72" s="201" t="s">
        <v>18</v>
      </c>
      <c r="B72" s="202">
        <v>244</v>
      </c>
      <c r="C72" s="202">
        <v>223</v>
      </c>
      <c r="D72" s="5">
        <f t="shared" ref="D72" si="14">E72+F72</f>
        <v>0</v>
      </c>
      <c r="E72" s="2">
        <f>'гос.зад на 2022 год '!E184</f>
        <v>0</v>
      </c>
      <c r="F72" s="2"/>
    </row>
    <row r="73" spans="1:6" ht="56.25" x14ac:dyDescent="0.25">
      <c r="A73" s="48" t="s">
        <v>18</v>
      </c>
      <c r="B73" s="49">
        <v>247</v>
      </c>
      <c r="C73" s="49">
        <v>223</v>
      </c>
      <c r="D73" s="5">
        <f t="shared" ref="D73:D81" si="15">E73+F73</f>
        <v>0</v>
      </c>
      <c r="E73" s="2">
        <f>'гос.зад на 2022 год '!E185</f>
        <v>0</v>
      </c>
      <c r="F73" s="2"/>
    </row>
    <row r="74" spans="1:6" ht="37.5" x14ac:dyDescent="0.25">
      <c r="A74" s="201" t="s">
        <v>19</v>
      </c>
      <c r="B74" s="202">
        <v>244</v>
      </c>
      <c r="C74" s="202">
        <v>223</v>
      </c>
      <c r="D74" s="5">
        <f t="shared" ref="D74" si="16">E74+F74</f>
        <v>0</v>
      </c>
      <c r="E74" s="2">
        <f>'гос.зад на 2022 год '!E185</f>
        <v>0</v>
      </c>
      <c r="F74" s="2"/>
    </row>
    <row r="75" spans="1:6" ht="37.5" x14ac:dyDescent="0.25">
      <c r="A75" s="48" t="s">
        <v>19</v>
      </c>
      <c r="B75" s="49">
        <v>247</v>
      </c>
      <c r="C75" s="49">
        <v>223</v>
      </c>
      <c r="D75" s="5">
        <f t="shared" si="15"/>
        <v>2718701.82</v>
      </c>
      <c r="E75" s="2">
        <f>'гос.зад на 2022 год '!E187</f>
        <v>2718701.82</v>
      </c>
      <c r="F75" s="2"/>
    </row>
    <row r="76" spans="1:6" ht="75" x14ac:dyDescent="0.25">
      <c r="A76" s="201" t="s">
        <v>20</v>
      </c>
      <c r="B76" s="202">
        <v>244</v>
      </c>
      <c r="C76" s="202">
        <v>223</v>
      </c>
      <c r="D76" s="5">
        <f t="shared" ref="D76" si="17">E76+F76</f>
        <v>0</v>
      </c>
      <c r="E76" s="2">
        <f>'гос.зад на 2022 год '!E188</f>
        <v>0</v>
      </c>
      <c r="F76" s="2"/>
    </row>
    <row r="77" spans="1:6" ht="75" x14ac:dyDescent="0.25">
      <c r="A77" s="48" t="s">
        <v>20</v>
      </c>
      <c r="B77" s="49">
        <v>247</v>
      </c>
      <c r="C77" s="49">
        <v>223</v>
      </c>
      <c r="D77" s="5">
        <f t="shared" si="15"/>
        <v>18009143.140000001</v>
      </c>
      <c r="E77" s="2">
        <f>'гос.зад на 2022 год '!E189</f>
        <v>18009143.140000001</v>
      </c>
      <c r="F77" s="2"/>
    </row>
    <row r="78" spans="1:6" ht="75" x14ac:dyDescent="0.25">
      <c r="A78" s="48" t="s">
        <v>21</v>
      </c>
      <c r="B78" s="49">
        <v>244</v>
      </c>
      <c r="C78" s="49">
        <v>223</v>
      </c>
      <c r="D78" s="5">
        <f t="shared" si="15"/>
        <v>522038.00000000023</v>
      </c>
      <c r="E78" s="2">
        <f>'гос.зад на 2022 год '!E190</f>
        <v>522038.00000000023</v>
      </c>
      <c r="F78" s="2"/>
    </row>
    <row r="79" spans="1:6" ht="56.25" x14ac:dyDescent="0.25">
      <c r="A79" s="48" t="s">
        <v>22</v>
      </c>
      <c r="B79" s="49">
        <v>244</v>
      </c>
      <c r="C79" s="49">
        <v>223</v>
      </c>
      <c r="D79" s="5">
        <f t="shared" si="15"/>
        <v>161189.39999999997</v>
      </c>
      <c r="E79" s="2">
        <f>'гос.зад на 2022 год '!E191</f>
        <v>161189.39999999997</v>
      </c>
      <c r="F79" s="2"/>
    </row>
    <row r="80" spans="1:6" ht="56.25" x14ac:dyDescent="0.25">
      <c r="A80" s="195" t="s">
        <v>442</v>
      </c>
      <c r="B80" s="196">
        <v>244</v>
      </c>
      <c r="C80" s="196">
        <v>223</v>
      </c>
      <c r="D80" s="5">
        <f t="shared" ref="D80" si="18">E80+F80</f>
        <v>30244.85</v>
      </c>
      <c r="E80" s="2">
        <f>'гос.зад на 2022 год '!E192</f>
        <v>30244.85</v>
      </c>
      <c r="F80" s="2"/>
    </row>
    <row r="81" spans="1:6" ht="168.75" x14ac:dyDescent="0.25">
      <c r="A81" s="48" t="s">
        <v>23</v>
      </c>
      <c r="B81" s="49">
        <v>244</v>
      </c>
      <c r="C81" s="49">
        <v>224</v>
      </c>
      <c r="D81" s="5">
        <f t="shared" si="15"/>
        <v>0</v>
      </c>
      <c r="E81" s="2">
        <f>'гос.зад на 2022 год '!E193</f>
        <v>0</v>
      </c>
      <c r="F81" s="2"/>
    </row>
    <row r="82" spans="1:6" ht="56.25" x14ac:dyDescent="0.25">
      <c r="A82" s="48" t="s">
        <v>24</v>
      </c>
      <c r="B82" s="49" t="s">
        <v>5</v>
      </c>
      <c r="C82" s="49">
        <v>225</v>
      </c>
      <c r="D82" s="2">
        <f t="shared" ref="D82" si="19">D83+D84</f>
        <v>13011930.530000003</v>
      </c>
      <c r="E82" s="2">
        <f>E83+E84</f>
        <v>13011930.530000003</v>
      </c>
      <c r="F82" s="2">
        <f t="shared" ref="F82" si="20">F83+F84</f>
        <v>0</v>
      </c>
    </row>
    <row r="83" spans="1:6" ht="18.75" x14ac:dyDescent="0.25">
      <c r="A83" s="221" t="s">
        <v>6</v>
      </c>
      <c r="B83" s="49">
        <v>243</v>
      </c>
      <c r="C83" s="49">
        <v>225</v>
      </c>
      <c r="D83" s="5">
        <f t="shared" ref="D83:D94" si="21">E83+F83</f>
        <v>0</v>
      </c>
      <c r="E83" s="2">
        <f>'гос.зад на 2022 год '!E195</f>
        <v>0</v>
      </c>
      <c r="F83" s="2"/>
    </row>
    <row r="84" spans="1:6" ht="18.75" x14ac:dyDescent="0.25">
      <c r="A84" s="221"/>
      <c r="B84" s="49">
        <v>244</v>
      </c>
      <c r="C84" s="49">
        <v>225</v>
      </c>
      <c r="D84" s="5">
        <f t="shared" si="21"/>
        <v>13011930.530000003</v>
      </c>
      <c r="E84" s="2">
        <f>'гос.зад на 2022 год '!E196</f>
        <v>13011930.530000003</v>
      </c>
      <c r="F84" s="2"/>
    </row>
    <row r="85" spans="1:6" ht="37.5" x14ac:dyDescent="0.25">
      <c r="A85" s="48" t="s">
        <v>58</v>
      </c>
      <c r="B85" s="49" t="s">
        <v>5</v>
      </c>
      <c r="C85" s="49">
        <v>226</v>
      </c>
      <c r="D85" s="5">
        <f t="shared" si="21"/>
        <v>2007401.6399999987</v>
      </c>
      <c r="E85" s="2">
        <f>E86+E87</f>
        <v>2007401.6399999987</v>
      </c>
      <c r="F85" s="2">
        <f>F86+F87</f>
        <v>0</v>
      </c>
    </row>
    <row r="86" spans="1:6" ht="18.75" x14ac:dyDescent="0.25">
      <c r="A86" s="221" t="s">
        <v>6</v>
      </c>
      <c r="B86" s="49">
        <v>243</v>
      </c>
      <c r="C86" s="49">
        <v>226</v>
      </c>
      <c r="D86" s="5">
        <f t="shared" si="21"/>
        <v>0</v>
      </c>
      <c r="E86" s="2">
        <f>'гос.зад на 2022 год '!E198</f>
        <v>0</v>
      </c>
      <c r="F86" s="2"/>
    </row>
    <row r="87" spans="1:6" ht="18.75" x14ac:dyDescent="0.25">
      <c r="A87" s="221"/>
      <c r="B87" s="49">
        <v>244</v>
      </c>
      <c r="C87" s="49">
        <v>226</v>
      </c>
      <c r="D87" s="5">
        <f t="shared" si="21"/>
        <v>2007401.6399999987</v>
      </c>
      <c r="E87" s="2">
        <f>'гос.зад на 2022 год '!E199</f>
        <v>2007401.6399999987</v>
      </c>
      <c r="F87" s="2"/>
    </row>
    <row r="88" spans="1:6" ht="18.75" x14ac:dyDescent="0.25">
      <c r="A88" s="48" t="s">
        <v>25</v>
      </c>
      <c r="B88" s="49">
        <v>244</v>
      </c>
      <c r="C88" s="49">
        <v>227</v>
      </c>
      <c r="D88" s="5">
        <f t="shared" si="21"/>
        <v>16467.62</v>
      </c>
      <c r="E88" s="2">
        <f>'гос.зад на 2022 год '!E200</f>
        <v>16467.62</v>
      </c>
      <c r="F88" s="2"/>
    </row>
    <row r="89" spans="1:6" ht="56.25" x14ac:dyDescent="0.25">
      <c r="A89" s="170" t="s">
        <v>345</v>
      </c>
      <c r="B89" s="171">
        <v>244</v>
      </c>
      <c r="C89" s="171">
        <v>228</v>
      </c>
      <c r="D89" s="5">
        <f t="shared" ref="D89" si="22">E89+F89</f>
        <v>0</v>
      </c>
      <c r="E89" s="2">
        <f>'гос.зад на 2022 год '!E202</f>
        <v>0</v>
      </c>
      <c r="F89" s="2"/>
    </row>
    <row r="90" spans="1:6" ht="18.75" x14ac:dyDescent="0.25">
      <c r="A90" s="48" t="s">
        <v>30</v>
      </c>
      <c r="B90" s="49" t="s">
        <v>5</v>
      </c>
      <c r="C90" s="49">
        <v>290</v>
      </c>
      <c r="D90" s="5">
        <f t="shared" si="21"/>
        <v>0</v>
      </c>
      <c r="E90" s="2">
        <f>E92+E93</f>
        <v>0</v>
      </c>
      <c r="F90" s="2">
        <f>F92+F93</f>
        <v>0</v>
      </c>
    </row>
    <row r="91" spans="1:6" ht="18.75" x14ac:dyDescent="0.25">
      <c r="A91" s="48" t="s">
        <v>9</v>
      </c>
      <c r="B91" s="49"/>
      <c r="C91" s="49"/>
      <c r="D91" s="5">
        <f t="shared" si="21"/>
        <v>0</v>
      </c>
      <c r="E91" s="2"/>
      <c r="F91" s="2"/>
    </row>
    <row r="92" spans="1:6" ht="56.25" x14ac:dyDescent="0.25">
      <c r="A92" s="48" t="s">
        <v>34</v>
      </c>
      <c r="B92" s="49">
        <v>244</v>
      </c>
      <c r="C92" s="49">
        <v>296</v>
      </c>
      <c r="D92" s="5">
        <f t="shared" si="21"/>
        <v>0</v>
      </c>
      <c r="E92" s="2">
        <f>'гос.зад на 2022 год '!E204</f>
        <v>0</v>
      </c>
      <c r="F92" s="2"/>
    </row>
    <row r="93" spans="1:6" ht="56.25" x14ac:dyDescent="0.25">
      <c r="A93" s="48" t="s">
        <v>35</v>
      </c>
      <c r="B93" s="49">
        <v>244</v>
      </c>
      <c r="C93" s="49">
        <v>297</v>
      </c>
      <c r="D93" s="5">
        <f t="shared" si="21"/>
        <v>0</v>
      </c>
      <c r="E93" s="2">
        <f>'гос.зад на 2022 год '!E205</f>
        <v>0</v>
      </c>
      <c r="F93" s="2"/>
    </row>
    <row r="94" spans="1:6" ht="56.25" x14ac:dyDescent="0.25">
      <c r="A94" s="48" t="s">
        <v>59</v>
      </c>
      <c r="B94" s="49" t="s">
        <v>5</v>
      </c>
      <c r="C94" s="49">
        <v>300</v>
      </c>
      <c r="D94" s="5">
        <f t="shared" si="21"/>
        <v>4627920.919999999</v>
      </c>
      <c r="E94" s="2">
        <f>E96+E98+E97</f>
        <v>4627920.919999999</v>
      </c>
      <c r="F94" s="2">
        <f>F96+F98+F97</f>
        <v>0</v>
      </c>
    </row>
    <row r="95" spans="1:6" ht="18.75" x14ac:dyDescent="0.25">
      <c r="A95" s="48" t="s">
        <v>9</v>
      </c>
      <c r="B95" s="49"/>
      <c r="C95" s="49"/>
      <c r="D95" s="5"/>
      <c r="E95" s="2"/>
      <c r="F95" s="2"/>
    </row>
    <row r="96" spans="1:6" ht="56.25" x14ac:dyDescent="0.25">
      <c r="A96" s="48" t="s">
        <v>36</v>
      </c>
      <c r="B96" s="49">
        <v>244</v>
      </c>
      <c r="C96" s="49">
        <v>310</v>
      </c>
      <c r="D96" s="5">
        <f t="shared" ref="D96:D98" si="23">E96+F96</f>
        <v>0</v>
      </c>
      <c r="E96" s="2">
        <f>'гос.зад на 2022 год '!E208</f>
        <v>0</v>
      </c>
      <c r="F96" s="2"/>
    </row>
    <row r="97" spans="1:6" ht="75" x14ac:dyDescent="0.25">
      <c r="A97" s="48" t="s">
        <v>68</v>
      </c>
      <c r="B97" s="49">
        <v>244</v>
      </c>
      <c r="C97" s="49">
        <v>320</v>
      </c>
      <c r="D97" s="5">
        <f t="shared" si="23"/>
        <v>0</v>
      </c>
      <c r="E97" s="2">
        <f>'гос.зад на 2022 год '!E209</f>
        <v>0</v>
      </c>
      <c r="F97" s="2"/>
    </row>
    <row r="98" spans="1:6" ht="75" x14ac:dyDescent="0.25">
      <c r="A98" s="48" t="s">
        <v>60</v>
      </c>
      <c r="B98" s="49" t="s">
        <v>5</v>
      </c>
      <c r="C98" s="49">
        <v>340</v>
      </c>
      <c r="D98" s="5">
        <f t="shared" si="23"/>
        <v>4627920.919999999</v>
      </c>
      <c r="E98" s="2">
        <f>E100+E101+E102+E103+E104+E105+E106+E107</f>
        <v>4627920.919999999</v>
      </c>
      <c r="F98" s="2">
        <f>F100+F101+F102+F103+F104+F105+F107</f>
        <v>0</v>
      </c>
    </row>
    <row r="99" spans="1:6" ht="18.75" x14ac:dyDescent="0.25">
      <c r="A99" s="48" t="s">
        <v>6</v>
      </c>
      <c r="B99" s="49"/>
      <c r="C99" s="49"/>
      <c r="D99" s="5"/>
      <c r="E99" s="2"/>
      <c r="F99" s="2"/>
    </row>
    <row r="100" spans="1:6" ht="131.25" x14ac:dyDescent="0.25">
      <c r="A100" s="48" t="s">
        <v>37</v>
      </c>
      <c r="B100" s="49">
        <v>244</v>
      </c>
      <c r="C100" s="49">
        <v>341</v>
      </c>
      <c r="D100" s="5">
        <f t="shared" ref="D100:D107" si="24">E100+F100</f>
        <v>0</v>
      </c>
      <c r="E100" s="2">
        <f>'гос.зад на 2022 год '!E212</f>
        <v>0</v>
      </c>
      <c r="F100" s="2"/>
    </row>
    <row r="101" spans="1:6" ht="56.25" x14ac:dyDescent="0.25">
      <c r="A101" s="48" t="s">
        <v>38</v>
      </c>
      <c r="B101" s="49">
        <v>244</v>
      </c>
      <c r="C101" s="49">
        <v>342</v>
      </c>
      <c r="D101" s="5">
        <f t="shared" si="24"/>
        <v>0</v>
      </c>
      <c r="E101" s="2">
        <f>'гос.зад на 2022 год '!E213</f>
        <v>0</v>
      </c>
      <c r="F101" s="2"/>
    </row>
    <row r="102" spans="1:6" ht="75" x14ac:dyDescent="0.25">
      <c r="A102" s="48" t="s">
        <v>39</v>
      </c>
      <c r="B102" s="49">
        <v>244</v>
      </c>
      <c r="C102" s="49">
        <v>343</v>
      </c>
      <c r="D102" s="5">
        <f t="shared" si="24"/>
        <v>0</v>
      </c>
      <c r="E102" s="2">
        <f>'гос.зад на 2022 год '!E214</f>
        <v>0</v>
      </c>
      <c r="F102" s="2"/>
    </row>
    <row r="103" spans="1:6" ht="75" x14ac:dyDescent="0.25">
      <c r="A103" s="48" t="s">
        <v>40</v>
      </c>
      <c r="B103" s="49">
        <v>244</v>
      </c>
      <c r="C103" s="49">
        <v>344</v>
      </c>
      <c r="D103" s="5">
        <f t="shared" si="24"/>
        <v>224794.3</v>
      </c>
      <c r="E103" s="2">
        <f>'гос.зад на 2022 год '!E215</f>
        <v>224794.3</v>
      </c>
      <c r="F103" s="2"/>
    </row>
    <row r="104" spans="1:6" ht="56.25" x14ac:dyDescent="0.25">
      <c r="A104" s="48" t="s">
        <v>41</v>
      </c>
      <c r="B104" s="49">
        <v>244</v>
      </c>
      <c r="C104" s="49">
        <v>345</v>
      </c>
      <c r="D104" s="5">
        <f t="shared" si="24"/>
        <v>600000</v>
      </c>
      <c r="E104" s="2">
        <f>'гос.зад на 2022 год '!E216</f>
        <v>600000</v>
      </c>
      <c r="F104" s="2"/>
    </row>
    <row r="105" spans="1:6" ht="75" x14ac:dyDescent="0.25">
      <c r="A105" s="48" t="s">
        <v>42</v>
      </c>
      <c r="B105" s="49">
        <v>244</v>
      </c>
      <c r="C105" s="49">
        <v>346</v>
      </c>
      <c r="D105" s="5">
        <f t="shared" si="24"/>
        <v>3653126.6199999992</v>
      </c>
      <c r="E105" s="2">
        <f>'гос.зад на 2022 год '!E217</f>
        <v>3653126.6199999992</v>
      </c>
      <c r="F105" s="2"/>
    </row>
    <row r="106" spans="1:6" ht="112.5" x14ac:dyDescent="0.25">
      <c r="A106" s="170" t="s">
        <v>346</v>
      </c>
      <c r="B106" s="171">
        <v>244</v>
      </c>
      <c r="C106" s="171">
        <v>347</v>
      </c>
      <c r="D106" s="5">
        <f t="shared" ref="D106" si="25">E106+F106</f>
        <v>0</v>
      </c>
      <c r="E106" s="2">
        <f>'гос.зад на 2022 год '!E218</f>
        <v>0</v>
      </c>
      <c r="F106" s="2"/>
    </row>
    <row r="107" spans="1:6" ht="112.5" x14ac:dyDescent="0.25">
      <c r="A107" s="48" t="s">
        <v>43</v>
      </c>
      <c r="B107" s="49">
        <v>244</v>
      </c>
      <c r="C107" s="49">
        <v>349</v>
      </c>
      <c r="D107" s="5">
        <f t="shared" si="24"/>
        <v>150000</v>
      </c>
      <c r="E107" s="2">
        <f>'гос.зад на 2022 год '!E219</f>
        <v>150000</v>
      </c>
      <c r="F107" s="2"/>
    </row>
    <row r="108" spans="1:6" ht="18.75" x14ac:dyDescent="0.25">
      <c r="A108" s="15"/>
      <c r="B108" s="19"/>
      <c r="C108" s="19"/>
      <c r="D108" s="36"/>
      <c r="E108" s="36"/>
      <c r="F108" s="36"/>
    </row>
    <row r="109" spans="1:6" x14ac:dyDescent="0.25">
      <c r="A109" s="11"/>
    </row>
    <row r="110" spans="1:6" ht="37.5" x14ac:dyDescent="0.3">
      <c r="A110" s="29" t="s">
        <v>52</v>
      </c>
      <c r="B110" s="224"/>
      <c r="C110" s="224"/>
      <c r="D110" s="10"/>
      <c r="E110" s="224" t="s">
        <v>499</v>
      </c>
      <c r="F110" s="224"/>
    </row>
    <row r="111" spans="1:6" ht="18.75" x14ac:dyDescent="0.3">
      <c r="A111" s="29"/>
      <c r="B111" s="223" t="s">
        <v>53</v>
      </c>
      <c r="C111" s="223"/>
      <c r="D111" s="10"/>
      <c r="E111" s="223" t="s">
        <v>54</v>
      </c>
      <c r="F111" s="223"/>
    </row>
    <row r="112" spans="1:6" ht="18.75" x14ac:dyDescent="0.3">
      <c r="A112" s="29"/>
      <c r="B112" s="10"/>
      <c r="C112" s="10"/>
      <c r="D112" s="10"/>
      <c r="E112" s="10"/>
      <c r="F112" s="10"/>
    </row>
    <row r="113" spans="1:6" ht="37.5" x14ac:dyDescent="0.3">
      <c r="A113" s="29" t="s">
        <v>55</v>
      </c>
      <c r="B113" s="224"/>
      <c r="C113" s="224"/>
      <c r="D113" s="10"/>
      <c r="E113" s="224" t="s">
        <v>500</v>
      </c>
      <c r="F113" s="224"/>
    </row>
    <row r="114" spans="1:6" ht="18.75" x14ac:dyDescent="0.3">
      <c r="A114" s="29"/>
      <c r="B114" s="223" t="s">
        <v>53</v>
      </c>
      <c r="C114" s="223"/>
      <c r="D114" s="10"/>
      <c r="E114" s="223" t="s">
        <v>54</v>
      </c>
      <c r="F114" s="223"/>
    </row>
    <row r="115" spans="1:6" ht="18.75" x14ac:dyDescent="0.3">
      <c r="A115" s="29"/>
      <c r="B115" s="116"/>
      <c r="C115" s="116"/>
      <c r="D115" s="10"/>
      <c r="E115" s="116"/>
      <c r="F115" s="116"/>
    </row>
    <row r="116" spans="1:6" ht="18.75" x14ac:dyDescent="0.3">
      <c r="A116" s="29" t="s">
        <v>56</v>
      </c>
      <c r="B116" s="224"/>
      <c r="C116" s="224"/>
      <c r="D116" s="10"/>
      <c r="E116" s="224" t="s">
        <v>500</v>
      </c>
      <c r="F116" s="224"/>
    </row>
    <row r="117" spans="1:6" ht="18.75" x14ac:dyDescent="0.3">
      <c r="A117" s="29"/>
      <c r="B117" s="223" t="s">
        <v>53</v>
      </c>
      <c r="C117" s="223"/>
      <c r="D117" s="10"/>
      <c r="E117" s="223" t="s">
        <v>54</v>
      </c>
      <c r="F117" s="223"/>
    </row>
    <row r="118" spans="1:6" ht="18.75" x14ac:dyDescent="0.3">
      <c r="A118" s="29" t="s">
        <v>57</v>
      </c>
      <c r="B118" s="10"/>
      <c r="C118" s="10"/>
      <c r="D118" s="10"/>
      <c r="E118" s="10"/>
      <c r="F118" s="10"/>
    </row>
    <row r="119" spans="1:6" ht="18.75" x14ac:dyDescent="0.3">
      <c r="A119" s="222" t="s">
        <v>44</v>
      </c>
      <c r="B119" s="222"/>
      <c r="C119" s="10"/>
      <c r="D119" s="10"/>
      <c r="E119" s="10"/>
      <c r="F119" s="10"/>
    </row>
  </sheetData>
  <mergeCells count="27">
    <mergeCell ref="A12:F12"/>
    <mergeCell ref="E5:F5"/>
    <mergeCell ref="B5:B7"/>
    <mergeCell ref="A1:F1"/>
    <mergeCell ref="A2:F2"/>
    <mergeCell ref="A5:A7"/>
    <mergeCell ref="C5:C7"/>
    <mergeCell ref="D5:D7"/>
    <mergeCell ref="E6:F6"/>
    <mergeCell ref="A60:F60"/>
    <mergeCell ref="A83:A84"/>
    <mergeCell ref="A86:A87"/>
    <mergeCell ref="A35:A36"/>
    <mergeCell ref="A38:A39"/>
    <mergeCell ref="B110:C110"/>
    <mergeCell ref="E110:F110"/>
    <mergeCell ref="B111:C111"/>
    <mergeCell ref="E111:F111"/>
    <mergeCell ref="B113:C113"/>
    <mergeCell ref="E113:F113"/>
    <mergeCell ref="A119:B119"/>
    <mergeCell ref="B114:C114"/>
    <mergeCell ref="E114:F114"/>
    <mergeCell ref="B116:C116"/>
    <mergeCell ref="E116:F116"/>
    <mergeCell ref="B117:C117"/>
    <mergeCell ref="E117:F117"/>
  </mergeCells>
  <pageMargins left="1.3779527559055118" right="0.39370078740157483" top="0.98425196850393704" bottom="0.78740157480314965" header="0.31496062992125984" footer="0.31496062992125984"/>
  <pageSetup paperSize="9" scale="65" firstPageNumber="12" orientation="portrait" useFirstPageNumber="1" r:id="rId1"/>
  <rowBreaks count="5" manualBreakCount="5">
    <brk id="26" max="5" man="1"/>
    <brk id="49" max="16383" man="1"/>
    <brk id="67" max="16383" man="1"/>
    <brk id="89" max="16383" man="1"/>
    <brk id="106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05"/>
  <sheetViews>
    <sheetView topLeftCell="A225" zoomScaleNormal="100" workbookViewId="0">
      <selection activeCell="A232" sqref="A232:G247"/>
    </sheetView>
  </sheetViews>
  <sheetFormatPr defaultColWidth="8.85546875" defaultRowHeight="15" x14ac:dyDescent="0.25"/>
  <cols>
    <col min="1" max="1" width="21.7109375" style="7" customWidth="1"/>
    <col min="2" max="2" width="15.28515625" style="7" customWidth="1"/>
    <col min="3" max="7" width="16.42578125" style="7" customWidth="1"/>
    <col min="8" max="9" width="8.85546875" style="7" customWidth="1"/>
    <col min="10" max="16384" width="8.85546875" style="7"/>
  </cols>
  <sheetData>
    <row r="1" spans="1:7" ht="18.75" x14ac:dyDescent="0.25">
      <c r="A1" s="6"/>
      <c r="E1" s="319"/>
      <c r="F1" s="319"/>
      <c r="G1" s="319"/>
    </row>
    <row r="2" spans="1:7" ht="40.15" customHeight="1" x14ac:dyDescent="0.25">
      <c r="A2" s="289" t="s">
        <v>256</v>
      </c>
      <c r="B2" s="289"/>
      <c r="C2" s="289"/>
      <c r="D2" s="289"/>
      <c r="E2" s="289"/>
      <c r="F2" s="289"/>
      <c r="G2" s="289"/>
    </row>
    <row r="3" spans="1:7" ht="18.75" x14ac:dyDescent="0.25">
      <c r="A3" s="59"/>
      <c r="B3" s="59"/>
      <c r="C3" s="59"/>
      <c r="D3" s="59"/>
      <c r="E3" s="59"/>
      <c r="F3" s="59"/>
      <c r="G3" s="59"/>
    </row>
    <row r="4" spans="1:7" ht="35.450000000000003" customHeight="1" x14ac:dyDescent="0.25">
      <c r="A4" s="289" t="s">
        <v>181</v>
      </c>
      <c r="B4" s="289"/>
      <c r="C4" s="289"/>
      <c r="D4" s="289"/>
      <c r="E4" s="289"/>
      <c r="F4" s="289"/>
      <c r="G4" s="289"/>
    </row>
    <row r="5" spans="1:7" ht="35.450000000000003" customHeight="1" x14ac:dyDescent="0.25">
      <c r="A5" s="289" t="s">
        <v>168</v>
      </c>
      <c r="B5" s="289"/>
      <c r="C5" s="289"/>
      <c r="D5" s="289"/>
      <c r="E5" s="289"/>
      <c r="F5" s="289"/>
      <c r="G5" s="289"/>
    </row>
    <row r="6" spans="1:7" ht="18.75" x14ac:dyDescent="0.25">
      <c r="A6" s="55"/>
    </row>
    <row r="7" spans="1:7" ht="18.75" x14ac:dyDescent="0.3">
      <c r="A7" s="9" t="s">
        <v>255</v>
      </c>
      <c r="B7" s="10">
        <v>120</v>
      </c>
    </row>
    <row r="8" spans="1:7" x14ac:dyDescent="0.25">
      <c r="A8" s="11"/>
    </row>
    <row r="9" spans="1:7" ht="79.900000000000006" customHeight="1" x14ac:dyDescent="0.25">
      <c r="A9" s="58" t="s">
        <v>86</v>
      </c>
      <c r="B9" s="275" t="s">
        <v>166</v>
      </c>
      <c r="C9" s="275"/>
      <c r="D9" s="275" t="s">
        <v>167</v>
      </c>
      <c r="E9" s="275"/>
      <c r="F9" s="275" t="s">
        <v>94</v>
      </c>
      <c r="G9" s="275"/>
    </row>
    <row r="10" spans="1:7" ht="18.75" x14ac:dyDescent="0.25">
      <c r="A10" s="58">
        <v>1</v>
      </c>
      <c r="B10" s="275">
        <v>2</v>
      </c>
      <c r="C10" s="275"/>
      <c r="D10" s="275">
        <v>3</v>
      </c>
      <c r="E10" s="275"/>
      <c r="F10" s="275">
        <v>4</v>
      </c>
      <c r="G10" s="275"/>
    </row>
    <row r="11" spans="1:7" ht="37.5" x14ac:dyDescent="0.25">
      <c r="A11" s="13" t="s">
        <v>169</v>
      </c>
      <c r="B11" s="275"/>
      <c r="C11" s="275"/>
      <c r="D11" s="275"/>
      <c r="E11" s="275"/>
      <c r="F11" s="281">
        <f>B11*D11</f>
        <v>0</v>
      </c>
      <c r="G11" s="281"/>
    </row>
    <row r="12" spans="1:7" ht="18.75" x14ac:dyDescent="0.25">
      <c r="A12" s="13" t="s">
        <v>120</v>
      </c>
      <c r="B12" s="275"/>
      <c r="C12" s="275"/>
      <c r="D12" s="275"/>
      <c r="E12" s="275"/>
      <c r="F12" s="275"/>
      <c r="G12" s="275"/>
    </row>
    <row r="13" spans="1:7" ht="18.75" x14ac:dyDescent="0.25">
      <c r="A13" s="55"/>
    </row>
    <row r="14" spans="1:7" ht="43.9" customHeight="1" x14ac:dyDescent="0.25">
      <c r="A14" s="289" t="s">
        <v>174</v>
      </c>
      <c r="B14" s="289"/>
      <c r="C14" s="289"/>
      <c r="D14" s="289"/>
      <c r="E14" s="289"/>
      <c r="F14" s="289"/>
      <c r="G14" s="289"/>
    </row>
    <row r="15" spans="1:7" ht="18.75" x14ac:dyDescent="0.25">
      <c r="A15" s="59"/>
      <c r="B15" s="59"/>
      <c r="C15" s="59"/>
      <c r="D15" s="59"/>
      <c r="E15" s="59"/>
      <c r="F15" s="59"/>
      <c r="G15" s="59"/>
    </row>
    <row r="16" spans="1:7" ht="18.75" x14ac:dyDescent="0.3">
      <c r="A16" s="9" t="s">
        <v>255</v>
      </c>
      <c r="B16" s="10">
        <v>130</v>
      </c>
    </row>
    <row r="17" spans="1:7" x14ac:dyDescent="0.25">
      <c r="A17" s="11"/>
    </row>
    <row r="18" spans="1:7" ht="55.9" customHeight="1" x14ac:dyDescent="0.25">
      <c r="A18" s="58" t="s">
        <v>86</v>
      </c>
      <c r="B18" s="275" t="s">
        <v>172</v>
      </c>
      <c r="C18" s="275"/>
      <c r="D18" s="275" t="s">
        <v>173</v>
      </c>
      <c r="E18" s="275"/>
      <c r="F18" s="275" t="s">
        <v>270</v>
      </c>
      <c r="G18" s="275"/>
    </row>
    <row r="19" spans="1:7" ht="18.75" x14ac:dyDescent="0.25">
      <c r="A19" s="58">
        <v>1</v>
      </c>
      <c r="B19" s="275">
        <v>2</v>
      </c>
      <c r="C19" s="275"/>
      <c r="D19" s="275">
        <v>3</v>
      </c>
      <c r="E19" s="275"/>
      <c r="F19" s="275">
        <v>4</v>
      </c>
      <c r="G19" s="275"/>
    </row>
    <row r="20" spans="1:7" ht="112.5" x14ac:dyDescent="0.25">
      <c r="A20" s="13" t="s">
        <v>170</v>
      </c>
      <c r="B20" s="275" t="s">
        <v>117</v>
      </c>
      <c r="C20" s="275"/>
      <c r="D20" s="275" t="s">
        <v>117</v>
      </c>
      <c r="E20" s="275"/>
      <c r="F20" s="281">
        <v>0</v>
      </c>
      <c r="G20" s="281"/>
    </row>
    <row r="21" spans="1:7" ht="18.75" x14ac:dyDescent="0.25">
      <c r="A21" s="55"/>
    </row>
    <row r="22" spans="1:7" ht="18.75" x14ac:dyDescent="0.3">
      <c r="A22" s="9" t="s">
        <v>255</v>
      </c>
      <c r="B22" s="10">
        <v>130</v>
      </c>
    </row>
    <row r="23" spans="1:7" x14ac:dyDescent="0.25">
      <c r="A23" s="11"/>
    </row>
    <row r="24" spans="1:7" ht="41.45" customHeight="1" x14ac:dyDescent="0.25">
      <c r="A24" s="58" t="s">
        <v>86</v>
      </c>
      <c r="B24" s="275" t="s">
        <v>172</v>
      </c>
      <c r="C24" s="275"/>
      <c r="D24" s="275" t="s">
        <v>173</v>
      </c>
      <c r="E24" s="275"/>
      <c r="F24" s="275" t="s">
        <v>94</v>
      </c>
      <c r="G24" s="275"/>
    </row>
    <row r="25" spans="1:7" ht="18.75" x14ac:dyDescent="0.25">
      <c r="A25" s="58">
        <v>1</v>
      </c>
      <c r="B25" s="275">
        <v>2</v>
      </c>
      <c r="C25" s="275"/>
      <c r="D25" s="275">
        <v>3</v>
      </c>
      <c r="E25" s="275"/>
      <c r="F25" s="275">
        <v>4</v>
      </c>
      <c r="G25" s="275"/>
    </row>
    <row r="26" spans="1:7" ht="75" x14ac:dyDescent="0.25">
      <c r="A26" s="13" t="s">
        <v>164</v>
      </c>
      <c r="B26" s="275"/>
      <c r="C26" s="275"/>
      <c r="D26" s="275"/>
      <c r="E26" s="275"/>
      <c r="F26" s="281">
        <f>B26*D26</f>
        <v>0</v>
      </c>
      <c r="G26" s="281"/>
    </row>
    <row r="27" spans="1:7" ht="18.75" x14ac:dyDescent="0.25">
      <c r="A27" s="55"/>
    </row>
    <row r="28" spans="1:7" ht="18.75" x14ac:dyDescent="0.3">
      <c r="A28" s="9" t="s">
        <v>255</v>
      </c>
      <c r="B28" s="10">
        <v>150</v>
      </c>
    </row>
    <row r="29" spans="1:7" x14ac:dyDescent="0.25">
      <c r="A29" s="11"/>
    </row>
    <row r="30" spans="1:7" ht="42.6" customHeight="1" x14ac:dyDescent="0.25">
      <c r="A30" s="58" t="s">
        <v>86</v>
      </c>
      <c r="B30" s="275" t="s">
        <v>172</v>
      </c>
      <c r="C30" s="275"/>
      <c r="D30" s="275" t="s">
        <v>173</v>
      </c>
      <c r="E30" s="275"/>
      <c r="F30" s="275" t="s">
        <v>183</v>
      </c>
      <c r="G30" s="275"/>
    </row>
    <row r="31" spans="1:7" ht="18.75" x14ac:dyDescent="0.25">
      <c r="A31" s="58">
        <v>1</v>
      </c>
      <c r="B31" s="275">
        <v>2</v>
      </c>
      <c r="C31" s="275"/>
      <c r="D31" s="275">
        <v>3</v>
      </c>
      <c r="E31" s="275"/>
      <c r="F31" s="275">
        <v>4</v>
      </c>
      <c r="G31" s="275"/>
    </row>
    <row r="32" spans="1:7" ht="93.75" x14ac:dyDescent="0.25">
      <c r="A32" s="13" t="s">
        <v>271</v>
      </c>
      <c r="B32" s="275" t="s">
        <v>117</v>
      </c>
      <c r="C32" s="275"/>
      <c r="D32" s="275" t="s">
        <v>117</v>
      </c>
      <c r="E32" s="275"/>
      <c r="F32" s="281">
        <v>0</v>
      </c>
      <c r="G32" s="281"/>
    </row>
    <row r="33" spans="1:7" ht="18.75" x14ac:dyDescent="0.25">
      <c r="A33" s="55"/>
    </row>
    <row r="34" spans="1:7" ht="18.75" x14ac:dyDescent="0.25">
      <c r="A34" s="289" t="s">
        <v>176</v>
      </c>
      <c r="B34" s="289"/>
      <c r="C34" s="289"/>
      <c r="D34" s="289"/>
      <c r="E34" s="289"/>
      <c r="F34" s="289"/>
      <c r="G34" s="289"/>
    </row>
    <row r="35" spans="1:7" ht="18.75" x14ac:dyDescent="0.25">
      <c r="A35" s="55"/>
    </row>
    <row r="36" spans="1:7" ht="18.75" x14ac:dyDescent="0.3">
      <c r="A36" s="9" t="s">
        <v>255</v>
      </c>
      <c r="B36" s="10">
        <v>140</v>
      </c>
    </row>
    <row r="37" spans="1:7" x14ac:dyDescent="0.25">
      <c r="A37" s="11"/>
    </row>
    <row r="38" spans="1:7" ht="37.9" customHeight="1" x14ac:dyDescent="0.25">
      <c r="A38" s="257" t="s">
        <v>86</v>
      </c>
      <c r="B38" s="286"/>
      <c r="C38" s="258"/>
      <c r="D38" s="257" t="s">
        <v>165</v>
      </c>
      <c r="E38" s="286"/>
      <c r="F38" s="286"/>
      <c r="G38" s="258"/>
    </row>
    <row r="39" spans="1:7" ht="18.75" x14ac:dyDescent="0.25">
      <c r="A39" s="257">
        <v>1</v>
      </c>
      <c r="B39" s="286"/>
      <c r="C39" s="258"/>
      <c r="D39" s="257">
        <v>3</v>
      </c>
      <c r="E39" s="286"/>
      <c r="F39" s="286"/>
      <c r="G39" s="258"/>
    </row>
    <row r="40" spans="1:7" ht="18.75" x14ac:dyDescent="0.25">
      <c r="A40" s="252" t="s">
        <v>175</v>
      </c>
      <c r="B40" s="253"/>
      <c r="C40" s="254"/>
      <c r="D40" s="255">
        <v>0</v>
      </c>
      <c r="E40" s="310"/>
      <c r="F40" s="310"/>
      <c r="G40" s="256"/>
    </row>
    <row r="41" spans="1:7" ht="18.75" x14ac:dyDescent="0.25">
      <c r="A41" s="55"/>
    </row>
    <row r="42" spans="1:7" ht="18.75" x14ac:dyDescent="0.25">
      <c r="A42" s="289" t="s">
        <v>177</v>
      </c>
      <c r="B42" s="289"/>
      <c r="C42" s="289"/>
      <c r="D42" s="289"/>
      <c r="E42" s="289"/>
      <c r="F42" s="289"/>
      <c r="G42" s="289"/>
    </row>
    <row r="43" spans="1:7" ht="18.75" x14ac:dyDescent="0.25">
      <c r="A43" s="59"/>
      <c r="B43" s="59"/>
      <c r="C43" s="59"/>
      <c r="D43" s="59"/>
      <c r="E43" s="59"/>
      <c r="F43" s="59"/>
      <c r="G43" s="59"/>
    </row>
    <row r="44" spans="1:7" ht="18.75" x14ac:dyDescent="0.3">
      <c r="A44" s="9" t="s">
        <v>255</v>
      </c>
      <c r="B44" s="10">
        <v>180</v>
      </c>
    </row>
    <row r="45" spans="1:7" x14ac:dyDescent="0.25">
      <c r="A45" s="11"/>
    </row>
    <row r="46" spans="1:7" ht="57" customHeight="1" x14ac:dyDescent="0.25">
      <c r="A46" s="58" t="s">
        <v>86</v>
      </c>
      <c r="B46" s="275" t="s">
        <v>172</v>
      </c>
      <c r="C46" s="275"/>
      <c r="D46" s="275" t="s">
        <v>173</v>
      </c>
      <c r="E46" s="275"/>
      <c r="F46" s="275" t="s">
        <v>183</v>
      </c>
      <c r="G46" s="275"/>
    </row>
    <row r="47" spans="1:7" ht="18.75" x14ac:dyDescent="0.25">
      <c r="A47" s="58">
        <v>1</v>
      </c>
      <c r="B47" s="275">
        <v>2</v>
      </c>
      <c r="C47" s="275"/>
      <c r="D47" s="275">
        <v>3</v>
      </c>
      <c r="E47" s="275"/>
      <c r="F47" s="275">
        <v>4</v>
      </c>
      <c r="G47" s="275"/>
    </row>
    <row r="48" spans="1:7" ht="37.5" x14ac:dyDescent="0.25">
      <c r="A48" s="13" t="s">
        <v>272</v>
      </c>
      <c r="B48" s="275" t="s">
        <v>117</v>
      </c>
      <c r="C48" s="275"/>
      <c r="D48" s="275" t="s">
        <v>117</v>
      </c>
      <c r="E48" s="275"/>
      <c r="F48" s="281">
        <v>0</v>
      </c>
      <c r="G48" s="281"/>
    </row>
    <row r="49" spans="1:7" ht="18.75" x14ac:dyDescent="0.25">
      <c r="A49" s="55"/>
    </row>
    <row r="50" spans="1:7" ht="18.75" x14ac:dyDescent="0.25">
      <c r="A50" s="289" t="s">
        <v>187</v>
      </c>
      <c r="B50" s="289"/>
      <c r="C50" s="289"/>
      <c r="D50" s="289"/>
      <c r="E50" s="289"/>
      <c r="F50" s="289"/>
      <c r="G50" s="289"/>
    </row>
    <row r="51" spans="1:7" ht="18.75" x14ac:dyDescent="0.25">
      <c r="A51" s="55"/>
    </row>
    <row r="52" spans="1:7" ht="18.75" x14ac:dyDescent="0.3">
      <c r="A52" s="9" t="s">
        <v>255</v>
      </c>
      <c r="B52" s="10">
        <v>180</v>
      </c>
    </row>
    <row r="53" spans="1:7" x14ac:dyDescent="0.25">
      <c r="A53" s="11"/>
    </row>
    <row r="54" spans="1:7" ht="58.9" customHeight="1" x14ac:dyDescent="0.25">
      <c r="A54" s="58" t="s">
        <v>86</v>
      </c>
      <c r="B54" s="275" t="s">
        <v>172</v>
      </c>
      <c r="C54" s="275"/>
      <c r="D54" s="275" t="s">
        <v>173</v>
      </c>
      <c r="E54" s="275"/>
      <c r="F54" s="257" t="s">
        <v>171</v>
      </c>
      <c r="G54" s="258"/>
    </row>
    <row r="55" spans="1:7" ht="18.75" x14ac:dyDescent="0.25">
      <c r="A55" s="58">
        <v>1</v>
      </c>
      <c r="B55" s="275">
        <v>2</v>
      </c>
      <c r="C55" s="275"/>
      <c r="D55" s="275">
        <v>3</v>
      </c>
      <c r="E55" s="275"/>
      <c r="F55" s="275">
        <v>4</v>
      </c>
      <c r="G55" s="275"/>
    </row>
    <row r="56" spans="1:7" ht="58.9" customHeight="1" x14ac:dyDescent="0.25">
      <c r="A56" s="13" t="s">
        <v>184</v>
      </c>
      <c r="B56" s="275" t="s">
        <v>117</v>
      </c>
      <c r="C56" s="275"/>
      <c r="D56" s="275" t="s">
        <v>117</v>
      </c>
      <c r="E56" s="275"/>
      <c r="F56" s="281">
        <v>0</v>
      </c>
      <c r="G56" s="281"/>
    </row>
    <row r="57" spans="1:7" ht="18.75" x14ac:dyDescent="0.25">
      <c r="A57" s="55"/>
    </row>
    <row r="58" spans="1:7" ht="18.75" x14ac:dyDescent="0.25">
      <c r="A58" s="289" t="s">
        <v>178</v>
      </c>
      <c r="B58" s="289"/>
      <c r="C58" s="289"/>
      <c r="D58" s="289"/>
      <c r="E58" s="289"/>
      <c r="F58" s="289"/>
      <c r="G58" s="289"/>
    </row>
    <row r="59" spans="1:7" ht="18.75" x14ac:dyDescent="0.25">
      <c r="A59" s="55"/>
    </row>
    <row r="60" spans="1:7" ht="18.75" x14ac:dyDescent="0.3">
      <c r="A60" s="9" t="s">
        <v>255</v>
      </c>
      <c r="B60" s="10">
        <v>410</v>
      </c>
    </row>
    <row r="61" spans="1:7" x14ac:dyDescent="0.25">
      <c r="A61" s="11"/>
    </row>
    <row r="62" spans="1:7" ht="51.6" customHeight="1" x14ac:dyDescent="0.25">
      <c r="A62" s="58" t="s">
        <v>86</v>
      </c>
      <c r="B62" s="275" t="s">
        <v>142</v>
      </c>
      <c r="C62" s="275"/>
      <c r="D62" s="275" t="s">
        <v>182</v>
      </c>
      <c r="E62" s="275"/>
      <c r="F62" s="275" t="s">
        <v>94</v>
      </c>
      <c r="G62" s="275"/>
    </row>
    <row r="63" spans="1:7" ht="18.75" x14ac:dyDescent="0.25">
      <c r="A63" s="58">
        <v>1</v>
      </c>
      <c r="B63" s="275">
        <v>2</v>
      </c>
      <c r="C63" s="275"/>
      <c r="D63" s="275">
        <v>3</v>
      </c>
      <c r="E63" s="275"/>
      <c r="F63" s="275">
        <v>4</v>
      </c>
      <c r="G63" s="275"/>
    </row>
    <row r="64" spans="1:7" ht="56.25" x14ac:dyDescent="0.25">
      <c r="A64" s="13" t="s">
        <v>179</v>
      </c>
      <c r="B64" s="275" t="s">
        <v>117</v>
      </c>
      <c r="C64" s="275"/>
      <c r="D64" s="275" t="s">
        <v>117</v>
      </c>
      <c r="E64" s="275"/>
      <c r="F64" s="281">
        <v>0</v>
      </c>
      <c r="G64" s="281"/>
    </row>
    <row r="65" spans="1:7" ht="18.75" x14ac:dyDescent="0.25">
      <c r="A65" s="55"/>
    </row>
    <row r="66" spans="1:7" ht="18.75" x14ac:dyDescent="0.3">
      <c r="A66" s="9" t="s">
        <v>255</v>
      </c>
      <c r="B66" s="10">
        <v>440</v>
      </c>
    </row>
    <row r="67" spans="1:7" x14ac:dyDescent="0.25">
      <c r="A67" s="11"/>
    </row>
    <row r="68" spans="1:7" ht="36.6" customHeight="1" x14ac:dyDescent="0.25">
      <c r="A68" s="58" t="s">
        <v>86</v>
      </c>
      <c r="B68" s="275" t="s">
        <v>142</v>
      </c>
      <c r="C68" s="275"/>
      <c r="D68" s="275" t="s">
        <v>182</v>
      </c>
      <c r="E68" s="275"/>
      <c r="F68" s="275" t="s">
        <v>94</v>
      </c>
      <c r="G68" s="275"/>
    </row>
    <row r="69" spans="1:7" ht="18.75" x14ac:dyDescent="0.25">
      <c r="A69" s="58">
        <v>1</v>
      </c>
      <c r="B69" s="275">
        <v>2</v>
      </c>
      <c r="C69" s="275"/>
      <c r="D69" s="275">
        <v>3</v>
      </c>
      <c r="E69" s="275"/>
      <c r="F69" s="275">
        <v>4</v>
      </c>
      <c r="G69" s="275"/>
    </row>
    <row r="70" spans="1:7" ht="56.25" x14ac:dyDescent="0.25">
      <c r="A70" s="13" t="s">
        <v>179</v>
      </c>
      <c r="B70" s="275" t="s">
        <v>117</v>
      </c>
      <c r="C70" s="275"/>
      <c r="D70" s="275" t="s">
        <v>117</v>
      </c>
      <c r="E70" s="275"/>
      <c r="F70" s="281">
        <v>0</v>
      </c>
      <c r="G70" s="281"/>
    </row>
    <row r="71" spans="1:7" ht="18.75" x14ac:dyDescent="0.25">
      <c r="A71" s="15"/>
      <c r="B71" s="19"/>
      <c r="C71" s="19"/>
      <c r="D71" s="19"/>
      <c r="E71" s="19"/>
      <c r="F71" s="19"/>
      <c r="G71" s="19"/>
    </row>
    <row r="72" spans="1:7" ht="18.75" x14ac:dyDescent="0.25">
      <c r="A72" s="289" t="s">
        <v>254</v>
      </c>
      <c r="B72" s="289"/>
      <c r="C72" s="289"/>
      <c r="D72" s="289"/>
      <c r="E72" s="289"/>
      <c r="F72" s="289"/>
      <c r="G72" s="289"/>
    </row>
    <row r="73" spans="1:7" ht="18.75" x14ac:dyDescent="0.25">
      <c r="A73" s="15"/>
      <c r="B73" s="19"/>
      <c r="C73" s="19"/>
      <c r="D73" s="19"/>
      <c r="E73" s="19"/>
      <c r="F73" s="82"/>
      <c r="G73" s="82"/>
    </row>
    <row r="74" spans="1:7" ht="18.75" x14ac:dyDescent="0.3">
      <c r="A74" s="9" t="s">
        <v>255</v>
      </c>
      <c r="B74" s="10">
        <v>510</v>
      </c>
    </row>
    <row r="75" spans="1:7" x14ac:dyDescent="0.25">
      <c r="A75" s="11"/>
    </row>
    <row r="76" spans="1:7" ht="38.450000000000003" customHeight="1" x14ac:dyDescent="0.25">
      <c r="A76" s="68" t="s">
        <v>86</v>
      </c>
      <c r="B76" s="275" t="s">
        <v>142</v>
      </c>
      <c r="C76" s="275"/>
      <c r="D76" s="275" t="s">
        <v>182</v>
      </c>
      <c r="E76" s="275"/>
      <c r="F76" s="275" t="s">
        <v>94</v>
      </c>
      <c r="G76" s="275"/>
    </row>
    <row r="77" spans="1:7" ht="18.75" x14ac:dyDescent="0.25">
      <c r="A77" s="68">
        <v>1</v>
      </c>
      <c r="B77" s="275">
        <v>2</v>
      </c>
      <c r="C77" s="275"/>
      <c r="D77" s="275">
        <v>3</v>
      </c>
      <c r="E77" s="275"/>
      <c r="F77" s="275">
        <v>4</v>
      </c>
      <c r="G77" s="275"/>
    </row>
    <row r="78" spans="1:7" ht="150" x14ac:dyDescent="0.25">
      <c r="A78" s="13" t="s">
        <v>70</v>
      </c>
      <c r="B78" s="275" t="s">
        <v>117</v>
      </c>
      <c r="C78" s="275"/>
      <c r="D78" s="275" t="s">
        <v>117</v>
      </c>
      <c r="E78" s="275"/>
      <c r="F78" s="281">
        <v>0</v>
      </c>
      <c r="G78" s="281"/>
    </row>
    <row r="79" spans="1:7" ht="18.75" x14ac:dyDescent="0.25">
      <c r="A79" s="15"/>
      <c r="B79" s="19"/>
      <c r="C79" s="19"/>
      <c r="D79" s="19"/>
      <c r="E79" s="19"/>
      <c r="F79" s="82"/>
      <c r="G79" s="82"/>
    </row>
    <row r="80" spans="1:7" ht="18.75" x14ac:dyDescent="0.3">
      <c r="A80" s="9" t="s">
        <v>255</v>
      </c>
      <c r="B80" s="10">
        <v>510</v>
      </c>
    </row>
    <row r="81" spans="1:7" x14ac:dyDescent="0.25">
      <c r="A81" s="11"/>
    </row>
    <row r="82" spans="1:7" ht="42" customHeight="1" x14ac:dyDescent="0.25">
      <c r="A82" s="68" t="s">
        <v>86</v>
      </c>
      <c r="B82" s="275" t="s">
        <v>142</v>
      </c>
      <c r="C82" s="275"/>
      <c r="D82" s="275" t="s">
        <v>182</v>
      </c>
      <c r="E82" s="275"/>
      <c r="F82" s="275" t="s">
        <v>94</v>
      </c>
      <c r="G82" s="275"/>
    </row>
    <row r="83" spans="1:7" ht="18.75" x14ac:dyDescent="0.25">
      <c r="A83" s="68">
        <v>1</v>
      </c>
      <c r="B83" s="275">
        <v>2</v>
      </c>
      <c r="C83" s="275"/>
      <c r="D83" s="275">
        <v>3</v>
      </c>
      <c r="E83" s="275"/>
      <c r="F83" s="275">
        <v>4</v>
      </c>
      <c r="G83" s="275"/>
    </row>
    <row r="84" spans="1:7" ht="187.5" x14ac:dyDescent="0.25">
      <c r="A84" s="13" t="s">
        <v>273</v>
      </c>
      <c r="B84" s="275" t="s">
        <v>117</v>
      </c>
      <c r="C84" s="275"/>
      <c r="D84" s="275" t="s">
        <v>117</v>
      </c>
      <c r="E84" s="275"/>
      <c r="F84" s="281">
        <f>'платные на 2022 год '!D24</f>
        <v>0</v>
      </c>
      <c r="G84" s="281"/>
    </row>
    <row r="85" spans="1:7" ht="18.75" x14ac:dyDescent="0.25">
      <c r="A85" s="15"/>
      <c r="B85" s="19"/>
      <c r="C85" s="19"/>
      <c r="D85" s="19"/>
      <c r="E85" s="19"/>
      <c r="F85" s="19"/>
      <c r="G85" s="19"/>
    </row>
    <row r="86" spans="1:7" ht="18.75" x14ac:dyDescent="0.25">
      <c r="A86" s="289" t="s">
        <v>260</v>
      </c>
      <c r="B86" s="289"/>
      <c r="C86" s="289"/>
      <c r="D86" s="289"/>
      <c r="E86" s="289"/>
      <c r="F86" s="289"/>
      <c r="G86" s="289"/>
    </row>
    <row r="87" spans="1:7" ht="18.75" x14ac:dyDescent="0.25">
      <c r="A87" s="15"/>
      <c r="B87" s="19"/>
      <c r="C87" s="19"/>
      <c r="D87" s="19"/>
      <c r="E87" s="19"/>
      <c r="F87" s="82"/>
      <c r="G87" s="82"/>
    </row>
    <row r="88" spans="1:7" ht="18.75" x14ac:dyDescent="0.3">
      <c r="A88" s="9" t="s">
        <v>255</v>
      </c>
      <c r="B88" s="10">
        <v>180</v>
      </c>
    </row>
    <row r="89" spans="1:7" x14ac:dyDescent="0.25">
      <c r="A89" s="11"/>
    </row>
    <row r="90" spans="1:7" ht="39" customHeight="1" x14ac:dyDescent="0.25">
      <c r="A90" s="86" t="s">
        <v>86</v>
      </c>
      <c r="B90" s="275" t="s">
        <v>142</v>
      </c>
      <c r="C90" s="275"/>
      <c r="D90" s="275" t="s">
        <v>182</v>
      </c>
      <c r="E90" s="275"/>
      <c r="F90" s="275" t="s">
        <v>94</v>
      </c>
      <c r="G90" s="275"/>
    </row>
    <row r="91" spans="1:7" ht="18.75" x14ac:dyDescent="0.25">
      <c r="A91" s="86">
        <v>1</v>
      </c>
      <c r="B91" s="275">
        <v>2</v>
      </c>
      <c r="C91" s="275"/>
      <c r="D91" s="275">
        <v>3</v>
      </c>
      <c r="E91" s="275"/>
      <c r="F91" s="275">
        <v>4</v>
      </c>
      <c r="G91" s="275"/>
    </row>
    <row r="92" spans="1:7" ht="37.5" x14ac:dyDescent="0.25">
      <c r="A92" s="13" t="s">
        <v>194</v>
      </c>
      <c r="B92" s="275" t="s">
        <v>117</v>
      </c>
      <c r="C92" s="275"/>
      <c r="D92" s="275" t="s">
        <v>117</v>
      </c>
      <c r="E92" s="275"/>
      <c r="F92" s="281">
        <f>'гос.зад на 2022 год '!E107</f>
        <v>0</v>
      </c>
      <c r="G92" s="275"/>
    </row>
    <row r="93" spans="1:7" ht="56.25" x14ac:dyDescent="0.25">
      <c r="A93" s="13" t="s">
        <v>195</v>
      </c>
      <c r="B93" s="275" t="s">
        <v>117</v>
      </c>
      <c r="C93" s="275"/>
      <c r="D93" s="275" t="s">
        <v>117</v>
      </c>
      <c r="E93" s="275"/>
      <c r="F93" s="281">
        <f>'гос.зад на 2022 год '!E108</f>
        <v>0</v>
      </c>
      <c r="G93" s="275"/>
    </row>
    <row r="94" spans="1:7" ht="56.25" x14ac:dyDescent="0.25">
      <c r="A94" s="13" t="s">
        <v>196</v>
      </c>
      <c r="B94" s="275" t="s">
        <v>117</v>
      </c>
      <c r="C94" s="275"/>
      <c r="D94" s="275" t="s">
        <v>117</v>
      </c>
      <c r="E94" s="275"/>
      <c r="F94" s="281">
        <f>'гос.зад на 2022 год '!E109</f>
        <v>0</v>
      </c>
      <c r="G94" s="275"/>
    </row>
    <row r="95" spans="1:7" ht="18.75" x14ac:dyDescent="0.25">
      <c r="A95" s="15"/>
      <c r="B95" s="19"/>
      <c r="C95" s="19"/>
      <c r="D95" s="19"/>
      <c r="E95" s="19"/>
      <c r="F95" s="19"/>
      <c r="G95" s="19"/>
    </row>
    <row r="96" spans="1:7" ht="48.6" customHeight="1" x14ac:dyDescent="0.25">
      <c r="A96" s="289" t="s">
        <v>188</v>
      </c>
      <c r="B96" s="289"/>
      <c r="C96" s="289"/>
      <c r="D96" s="289"/>
      <c r="E96" s="289"/>
      <c r="F96" s="289"/>
      <c r="G96" s="289"/>
    </row>
    <row r="97" spans="1:7" ht="18.75" x14ac:dyDescent="0.25">
      <c r="A97" s="8"/>
    </row>
    <row r="98" spans="1:7" ht="18.75" x14ac:dyDescent="0.25">
      <c r="A98" s="274" t="s">
        <v>189</v>
      </c>
      <c r="B98" s="274"/>
      <c r="C98" s="274"/>
      <c r="D98" s="274"/>
      <c r="E98" s="274"/>
      <c r="F98" s="274"/>
      <c r="G98" s="274"/>
    </row>
    <row r="99" spans="1:7" ht="18.75" x14ac:dyDescent="0.25">
      <c r="A99" s="9"/>
    </row>
    <row r="100" spans="1:7" ht="18.75" x14ac:dyDescent="0.3">
      <c r="A100" s="9" t="s">
        <v>145</v>
      </c>
      <c r="B100" s="10">
        <v>111</v>
      </c>
    </row>
    <row r="101" spans="1:7" x14ac:dyDescent="0.25">
      <c r="A101" s="11"/>
    </row>
    <row r="102" spans="1:7" ht="54" customHeight="1" x14ac:dyDescent="0.25">
      <c r="A102" s="275" t="s">
        <v>76</v>
      </c>
      <c r="B102" s="275" t="s">
        <v>77</v>
      </c>
      <c r="C102" s="275" t="s">
        <v>78</v>
      </c>
      <c r="D102" s="275"/>
      <c r="E102" s="275"/>
      <c r="F102" s="275"/>
      <c r="G102" s="275" t="s">
        <v>79</v>
      </c>
    </row>
    <row r="103" spans="1:7" ht="18.75" x14ac:dyDescent="0.25">
      <c r="A103" s="275"/>
      <c r="B103" s="275"/>
      <c r="C103" s="275" t="s">
        <v>80</v>
      </c>
      <c r="D103" s="275" t="s">
        <v>6</v>
      </c>
      <c r="E103" s="275"/>
      <c r="F103" s="275"/>
      <c r="G103" s="275"/>
    </row>
    <row r="104" spans="1:7" ht="75" x14ac:dyDescent="0.25">
      <c r="A104" s="275"/>
      <c r="B104" s="275"/>
      <c r="C104" s="275"/>
      <c r="D104" s="12" t="s">
        <v>81</v>
      </c>
      <c r="E104" s="12" t="s">
        <v>82</v>
      </c>
      <c r="F104" s="12" t="s">
        <v>83</v>
      </c>
      <c r="G104" s="275"/>
    </row>
    <row r="105" spans="1:7" ht="18.75" x14ac:dyDescent="0.25">
      <c r="A105" s="58">
        <v>1</v>
      </c>
      <c r="B105" s="58">
        <v>2</v>
      </c>
      <c r="C105" s="58">
        <v>3</v>
      </c>
      <c r="D105" s="58">
        <v>4</v>
      </c>
      <c r="E105" s="58">
        <v>4</v>
      </c>
      <c r="F105" s="58">
        <v>5</v>
      </c>
      <c r="G105" s="58">
        <v>7</v>
      </c>
    </row>
    <row r="106" spans="1:7" ht="18.75" x14ac:dyDescent="0.25">
      <c r="A106" s="58"/>
      <c r="B106" s="58"/>
      <c r="C106" s="77"/>
      <c r="D106" s="77"/>
      <c r="E106" s="77"/>
      <c r="F106" s="77"/>
      <c r="G106" s="77"/>
    </row>
    <row r="107" spans="1:7" ht="18.75" x14ac:dyDescent="0.25">
      <c r="A107" s="58" t="s">
        <v>146</v>
      </c>
      <c r="B107" s="58"/>
      <c r="C107" s="77"/>
      <c r="D107" s="77"/>
      <c r="E107" s="77"/>
      <c r="F107" s="77"/>
      <c r="G107" s="77">
        <v>0</v>
      </c>
    </row>
    <row r="108" spans="1:7" ht="18.75" x14ac:dyDescent="0.25">
      <c r="A108" s="8"/>
    </row>
    <row r="109" spans="1:7" ht="18.75" x14ac:dyDescent="0.25">
      <c r="A109" s="274" t="s">
        <v>180</v>
      </c>
      <c r="B109" s="274"/>
      <c r="C109" s="274"/>
      <c r="D109" s="274"/>
      <c r="E109" s="274"/>
      <c r="F109" s="274"/>
      <c r="G109" s="274"/>
    </row>
    <row r="110" spans="1:7" ht="18.75" x14ac:dyDescent="0.25">
      <c r="A110" s="63"/>
      <c r="B110" s="63"/>
      <c r="C110" s="63"/>
      <c r="D110" s="63"/>
      <c r="E110" s="63"/>
      <c r="F110" s="63"/>
      <c r="G110" s="63"/>
    </row>
    <row r="111" spans="1:7" ht="18.75" x14ac:dyDescent="0.3">
      <c r="A111" s="9" t="s">
        <v>145</v>
      </c>
      <c r="B111" s="10">
        <v>119</v>
      </c>
    </row>
    <row r="112" spans="1:7" x14ac:dyDescent="0.25">
      <c r="A112" s="11"/>
    </row>
    <row r="113" spans="1:7" ht="72" customHeight="1" x14ac:dyDescent="0.25">
      <c r="A113" s="101" t="s">
        <v>84</v>
      </c>
      <c r="B113" s="275" t="s">
        <v>244</v>
      </c>
      <c r="C113" s="275"/>
      <c r="D113" s="275" t="s">
        <v>185</v>
      </c>
      <c r="E113" s="275"/>
      <c r="F113" s="275" t="s">
        <v>85</v>
      </c>
      <c r="G113" s="275"/>
    </row>
    <row r="114" spans="1:7" ht="18.75" x14ac:dyDescent="0.25">
      <c r="A114" s="58">
        <v>1</v>
      </c>
      <c r="B114" s="275">
        <v>2</v>
      </c>
      <c r="C114" s="275"/>
      <c r="D114" s="275">
        <v>3</v>
      </c>
      <c r="E114" s="275"/>
      <c r="F114" s="275">
        <v>4</v>
      </c>
      <c r="G114" s="275"/>
    </row>
    <row r="115" spans="1:7" ht="18.75" x14ac:dyDescent="0.25">
      <c r="A115" s="102">
        <f>B107</f>
        <v>0</v>
      </c>
      <c r="B115" s="281">
        <v>0</v>
      </c>
      <c r="C115" s="281"/>
      <c r="D115" s="281">
        <f>G107</f>
        <v>0</v>
      </c>
      <c r="E115" s="281"/>
      <c r="F115" s="281">
        <f>B115-D115</f>
        <v>0</v>
      </c>
      <c r="G115" s="281"/>
    </row>
    <row r="116" spans="1:7" ht="18.75" x14ac:dyDescent="0.25">
      <c r="A116" s="8"/>
    </row>
    <row r="117" spans="1:7" ht="51" customHeight="1" x14ac:dyDescent="0.25">
      <c r="A117" s="282" t="s">
        <v>203</v>
      </c>
      <c r="B117" s="282"/>
      <c r="C117" s="282"/>
      <c r="D117" s="282"/>
      <c r="E117" s="282"/>
      <c r="F117" s="282"/>
      <c r="G117" s="282"/>
    </row>
    <row r="118" spans="1:7" ht="18.75" x14ac:dyDescent="0.25">
      <c r="A118" s="9"/>
    </row>
    <row r="119" spans="1:7" ht="18.75" x14ac:dyDescent="0.3">
      <c r="A119" s="9" t="s">
        <v>147</v>
      </c>
      <c r="B119" s="10">
        <v>112</v>
      </c>
    </row>
    <row r="120" spans="1:7" x14ac:dyDescent="0.25">
      <c r="A120" s="11"/>
    </row>
    <row r="121" spans="1:7" ht="77.45" customHeight="1" x14ac:dyDescent="0.25">
      <c r="A121" s="58" t="s">
        <v>86</v>
      </c>
      <c r="B121" s="58" t="s">
        <v>87</v>
      </c>
      <c r="C121" s="275" t="s">
        <v>88</v>
      </c>
      <c r="D121" s="275"/>
      <c r="E121" s="58" t="s">
        <v>89</v>
      </c>
      <c r="F121" s="275" t="s">
        <v>90</v>
      </c>
      <c r="G121" s="275"/>
    </row>
    <row r="122" spans="1:7" ht="18.75" x14ac:dyDescent="0.25">
      <c r="A122" s="58">
        <v>1</v>
      </c>
      <c r="B122" s="58">
        <v>2</v>
      </c>
      <c r="C122" s="275">
        <v>3</v>
      </c>
      <c r="D122" s="275"/>
      <c r="E122" s="58">
        <v>4</v>
      </c>
      <c r="F122" s="275">
        <v>5</v>
      </c>
      <c r="G122" s="275"/>
    </row>
    <row r="123" spans="1:7" ht="18.75" x14ac:dyDescent="0.25">
      <c r="A123" s="13" t="s">
        <v>91</v>
      </c>
      <c r="B123" s="56"/>
      <c r="C123" s="275"/>
      <c r="D123" s="275"/>
      <c r="E123" s="14"/>
      <c r="F123" s="281">
        <f>B123*C123*E123</f>
        <v>0</v>
      </c>
      <c r="G123" s="281"/>
    </row>
    <row r="124" spans="1:7" ht="18.75" x14ac:dyDescent="0.25">
      <c r="A124" s="8"/>
    </row>
    <row r="125" spans="1:7" ht="33" customHeight="1" x14ac:dyDescent="0.25">
      <c r="A125" s="282" t="s">
        <v>227</v>
      </c>
      <c r="B125" s="282"/>
      <c r="C125" s="282"/>
      <c r="D125" s="282"/>
      <c r="E125" s="282"/>
      <c r="F125" s="282"/>
      <c r="G125" s="282"/>
    </row>
    <row r="126" spans="1:7" ht="18.75" x14ac:dyDescent="0.25">
      <c r="A126" s="9"/>
    </row>
    <row r="127" spans="1:7" ht="18.75" x14ac:dyDescent="0.3">
      <c r="A127" s="9" t="s">
        <v>147</v>
      </c>
      <c r="B127" s="10">
        <v>112</v>
      </c>
    </row>
    <row r="128" spans="1:7" x14ac:dyDescent="0.25">
      <c r="A128" s="11"/>
    </row>
    <row r="129" spans="1:7" ht="37.5" x14ac:dyDescent="0.25">
      <c r="A129" s="58" t="s">
        <v>86</v>
      </c>
      <c r="B129" s="58" t="s">
        <v>228</v>
      </c>
      <c r="C129" s="257" t="s">
        <v>229</v>
      </c>
      <c r="D129" s="286"/>
      <c r="E129" s="258"/>
      <c r="F129" s="275" t="s">
        <v>94</v>
      </c>
      <c r="G129" s="275"/>
    </row>
    <row r="130" spans="1:7" ht="18.75" x14ac:dyDescent="0.25">
      <c r="A130" s="58">
        <v>1</v>
      </c>
      <c r="B130" s="58">
        <v>2</v>
      </c>
      <c r="C130" s="257">
        <v>3</v>
      </c>
      <c r="D130" s="286"/>
      <c r="E130" s="258"/>
      <c r="F130" s="275">
        <v>4</v>
      </c>
      <c r="G130" s="275"/>
    </row>
    <row r="131" spans="1:7" ht="18.75" x14ac:dyDescent="0.25">
      <c r="A131" s="13"/>
      <c r="B131" s="56"/>
      <c r="C131" s="257"/>
      <c r="D131" s="286"/>
      <c r="E131" s="258"/>
      <c r="F131" s="281">
        <f>B131*C131</f>
        <v>0</v>
      </c>
      <c r="G131" s="281"/>
    </row>
    <row r="132" spans="1:7" ht="18.75" x14ac:dyDescent="0.25">
      <c r="A132" s="15"/>
      <c r="B132" s="16"/>
      <c r="C132" s="19"/>
      <c r="D132" s="19"/>
      <c r="E132" s="20"/>
      <c r="F132" s="19"/>
      <c r="G132" s="19"/>
    </row>
    <row r="133" spans="1:7" ht="38.450000000000003" customHeight="1" x14ac:dyDescent="0.25">
      <c r="A133" s="282" t="s">
        <v>204</v>
      </c>
      <c r="B133" s="282"/>
      <c r="C133" s="282"/>
      <c r="D133" s="282"/>
      <c r="E133" s="282"/>
      <c r="F133" s="282"/>
      <c r="G133" s="282"/>
    </row>
    <row r="134" spans="1:7" ht="18.75" x14ac:dyDescent="0.25">
      <c r="A134" s="9"/>
    </row>
    <row r="135" spans="1:7" ht="18.75" x14ac:dyDescent="0.3">
      <c r="A135" s="9" t="s">
        <v>145</v>
      </c>
      <c r="B135" s="10">
        <v>112</v>
      </c>
    </row>
    <row r="136" spans="1:7" x14ac:dyDescent="0.25">
      <c r="A136" s="11"/>
    </row>
    <row r="137" spans="1:7" ht="75" x14ac:dyDescent="0.25">
      <c r="A137" s="275" t="s">
        <v>86</v>
      </c>
      <c r="B137" s="275"/>
      <c r="C137" s="58" t="s">
        <v>92</v>
      </c>
      <c r="D137" s="275" t="s">
        <v>93</v>
      </c>
      <c r="E137" s="275"/>
      <c r="F137" s="275" t="s">
        <v>94</v>
      </c>
      <c r="G137" s="275"/>
    </row>
    <row r="138" spans="1:7" ht="18.75" x14ac:dyDescent="0.25">
      <c r="A138" s="257">
        <v>1</v>
      </c>
      <c r="B138" s="258"/>
      <c r="C138" s="58">
        <v>2</v>
      </c>
      <c r="D138" s="257">
        <v>3</v>
      </c>
      <c r="E138" s="258"/>
      <c r="F138" s="257">
        <v>4</v>
      </c>
      <c r="G138" s="258"/>
    </row>
    <row r="139" spans="1:7" ht="18.75" x14ac:dyDescent="0.25">
      <c r="A139" s="257"/>
      <c r="B139" s="258"/>
      <c r="C139" s="58"/>
      <c r="D139" s="257"/>
      <c r="E139" s="258"/>
      <c r="F139" s="255">
        <f>C139*D139</f>
        <v>0</v>
      </c>
      <c r="G139" s="256"/>
    </row>
    <row r="140" spans="1:7" ht="18.75" x14ac:dyDescent="0.25">
      <c r="A140" s="8"/>
    </row>
    <row r="141" spans="1:7" ht="36.6" customHeight="1" x14ac:dyDescent="0.25">
      <c r="A141" s="282" t="s">
        <v>205</v>
      </c>
      <c r="B141" s="282"/>
      <c r="C141" s="282"/>
      <c r="D141" s="282"/>
      <c r="E141" s="282"/>
      <c r="F141" s="282"/>
      <c r="G141" s="282"/>
    </row>
    <row r="142" spans="1:7" ht="18.75" x14ac:dyDescent="0.25">
      <c r="A142" s="57"/>
      <c r="B142" s="57"/>
      <c r="C142" s="57"/>
      <c r="D142" s="57"/>
      <c r="E142" s="57"/>
      <c r="F142" s="57"/>
      <c r="G142" s="57"/>
    </row>
    <row r="143" spans="1:7" ht="18.75" x14ac:dyDescent="0.3">
      <c r="A143" s="9" t="s">
        <v>147</v>
      </c>
      <c r="B143" s="10">
        <v>112</v>
      </c>
    </row>
    <row r="144" spans="1:7" x14ac:dyDescent="0.25">
      <c r="A144" s="11"/>
    </row>
    <row r="145" spans="1:7" ht="70.150000000000006" customHeight="1" x14ac:dyDescent="0.25">
      <c r="A145" s="58" t="s">
        <v>86</v>
      </c>
      <c r="B145" s="58" t="s">
        <v>87</v>
      </c>
      <c r="C145" s="275" t="s">
        <v>88</v>
      </c>
      <c r="D145" s="275"/>
      <c r="E145" s="58" t="s">
        <v>89</v>
      </c>
      <c r="F145" s="275" t="s">
        <v>90</v>
      </c>
      <c r="G145" s="275"/>
    </row>
    <row r="146" spans="1:7" ht="18.75" x14ac:dyDescent="0.25">
      <c r="A146" s="58">
        <v>1</v>
      </c>
      <c r="B146" s="58">
        <v>2</v>
      </c>
      <c r="C146" s="275">
        <v>3</v>
      </c>
      <c r="D146" s="275"/>
      <c r="E146" s="58">
        <v>4</v>
      </c>
      <c r="F146" s="275">
        <v>5</v>
      </c>
      <c r="G146" s="275"/>
    </row>
    <row r="147" spans="1:7" ht="37.5" x14ac:dyDescent="0.25">
      <c r="A147" s="13" t="s">
        <v>95</v>
      </c>
      <c r="B147" s="56"/>
      <c r="C147" s="275"/>
      <c r="D147" s="275"/>
      <c r="E147" s="14"/>
      <c r="F147" s="281">
        <f>B147*C147*E147</f>
        <v>0</v>
      </c>
      <c r="G147" s="281"/>
    </row>
    <row r="148" spans="1:7" ht="18.75" x14ac:dyDescent="0.25">
      <c r="A148" s="8"/>
    </row>
    <row r="149" spans="1:7" ht="41.45" customHeight="1" x14ac:dyDescent="0.25">
      <c r="A149" s="282" t="s">
        <v>206</v>
      </c>
      <c r="B149" s="282"/>
      <c r="C149" s="282"/>
      <c r="D149" s="282"/>
      <c r="E149" s="282"/>
      <c r="F149" s="282"/>
      <c r="G149" s="282"/>
    </row>
    <row r="150" spans="1:7" ht="18.75" x14ac:dyDescent="0.25">
      <c r="A150" s="9"/>
    </row>
    <row r="151" spans="1:7" ht="18.75" x14ac:dyDescent="0.3">
      <c r="A151" s="9" t="s">
        <v>145</v>
      </c>
      <c r="B151" s="10">
        <v>113</v>
      </c>
    </row>
    <row r="152" spans="1:7" x14ac:dyDescent="0.25">
      <c r="A152" s="11"/>
    </row>
    <row r="153" spans="1:7" ht="67.900000000000006" customHeight="1" x14ac:dyDescent="0.25">
      <c r="A153" s="58" t="s">
        <v>86</v>
      </c>
      <c r="B153" s="58" t="s">
        <v>96</v>
      </c>
      <c r="C153" s="275" t="s">
        <v>97</v>
      </c>
      <c r="D153" s="275"/>
      <c r="E153" s="58" t="s">
        <v>89</v>
      </c>
      <c r="F153" s="275" t="s">
        <v>90</v>
      </c>
      <c r="G153" s="275"/>
    </row>
    <row r="154" spans="1:7" ht="18.75" x14ac:dyDescent="0.3">
      <c r="A154" s="58">
        <v>1</v>
      </c>
      <c r="B154" s="58">
        <v>2</v>
      </c>
      <c r="C154" s="275">
        <v>3</v>
      </c>
      <c r="D154" s="275"/>
      <c r="E154" s="58">
        <v>4</v>
      </c>
      <c r="F154" s="248">
        <v>5</v>
      </c>
      <c r="G154" s="249"/>
    </row>
    <row r="155" spans="1:7" ht="93.75" x14ac:dyDescent="0.25">
      <c r="A155" s="13" t="s">
        <v>98</v>
      </c>
      <c r="B155" s="77"/>
      <c r="C155" s="281"/>
      <c r="D155" s="281"/>
      <c r="E155" s="79"/>
      <c r="F155" s="299">
        <f>B155*C155*E155</f>
        <v>0</v>
      </c>
      <c r="G155" s="300"/>
    </row>
    <row r="156" spans="1:7" ht="18.75" x14ac:dyDescent="0.25">
      <c r="A156" s="8"/>
    </row>
    <row r="157" spans="1:7" ht="18.75" x14ac:dyDescent="0.3">
      <c r="A157" s="9" t="s">
        <v>145</v>
      </c>
      <c r="B157" s="10">
        <v>119</v>
      </c>
    </row>
    <row r="158" spans="1:7" x14ac:dyDescent="0.25">
      <c r="A158" s="11"/>
    </row>
    <row r="159" spans="1:7" ht="61.9" customHeight="1" x14ac:dyDescent="0.25">
      <c r="A159" s="58" t="s">
        <v>86</v>
      </c>
      <c r="B159" s="58" t="s">
        <v>96</v>
      </c>
      <c r="C159" s="275" t="s">
        <v>97</v>
      </c>
      <c r="D159" s="275"/>
      <c r="E159" s="58" t="s">
        <v>89</v>
      </c>
      <c r="F159" s="275" t="s">
        <v>90</v>
      </c>
      <c r="G159" s="275"/>
    </row>
    <row r="160" spans="1:7" ht="18.75" x14ac:dyDescent="0.3">
      <c r="A160" s="58">
        <v>1</v>
      </c>
      <c r="B160" s="58">
        <v>2</v>
      </c>
      <c r="C160" s="275">
        <v>3</v>
      </c>
      <c r="D160" s="275"/>
      <c r="E160" s="58">
        <v>4</v>
      </c>
      <c r="F160" s="248">
        <v>5</v>
      </c>
      <c r="G160" s="249"/>
    </row>
    <row r="161" spans="1:7" ht="75" x14ac:dyDescent="0.25">
      <c r="A161" s="13" t="s">
        <v>157</v>
      </c>
      <c r="B161" s="77"/>
      <c r="C161" s="281"/>
      <c r="D161" s="281"/>
      <c r="E161" s="79"/>
      <c r="F161" s="299">
        <f>B161*C161*E161</f>
        <v>0</v>
      </c>
      <c r="G161" s="300"/>
    </row>
    <row r="162" spans="1:7" ht="18.75" x14ac:dyDescent="0.25">
      <c r="A162" s="13" t="s">
        <v>120</v>
      </c>
      <c r="B162" s="56"/>
      <c r="C162" s="257"/>
      <c r="D162" s="258"/>
      <c r="E162" s="14"/>
      <c r="F162" s="338"/>
      <c r="G162" s="340"/>
    </row>
    <row r="163" spans="1:7" ht="18.75" x14ac:dyDescent="0.25">
      <c r="A163" s="8"/>
    </row>
    <row r="164" spans="1:7" ht="36" customHeight="1" x14ac:dyDescent="0.25">
      <c r="A164" s="282" t="s">
        <v>207</v>
      </c>
      <c r="B164" s="282"/>
      <c r="C164" s="282"/>
      <c r="D164" s="282"/>
      <c r="E164" s="282"/>
      <c r="F164" s="282"/>
      <c r="G164" s="282"/>
    </row>
    <row r="165" spans="1:7" ht="18.75" x14ac:dyDescent="0.25">
      <c r="A165" s="57"/>
      <c r="B165" s="57"/>
      <c r="C165" s="57"/>
      <c r="D165" s="57"/>
      <c r="E165" s="57"/>
      <c r="F165" s="57"/>
      <c r="G165" s="57"/>
    </row>
    <row r="166" spans="1:7" ht="18.75" x14ac:dyDescent="0.3">
      <c r="A166" s="9" t="s">
        <v>145</v>
      </c>
      <c r="B166" s="10">
        <v>111</v>
      </c>
    </row>
    <row r="167" spans="1:7" x14ac:dyDescent="0.25">
      <c r="A167" s="11"/>
    </row>
    <row r="168" spans="1:7" ht="52.9" customHeight="1" x14ac:dyDescent="0.25">
      <c r="A168" s="58" t="s">
        <v>86</v>
      </c>
      <c r="B168" s="275" t="s">
        <v>99</v>
      </c>
      <c r="C168" s="275"/>
      <c r="D168" s="275" t="s">
        <v>100</v>
      </c>
      <c r="E168" s="275"/>
      <c r="F168" s="275" t="s">
        <v>101</v>
      </c>
      <c r="G168" s="275"/>
    </row>
    <row r="169" spans="1:7" ht="18.75" x14ac:dyDescent="0.3">
      <c r="A169" s="58">
        <v>1</v>
      </c>
      <c r="B169" s="257">
        <v>2</v>
      </c>
      <c r="C169" s="258"/>
      <c r="D169" s="257">
        <v>3</v>
      </c>
      <c r="E169" s="258"/>
      <c r="F169" s="248">
        <v>4</v>
      </c>
      <c r="G169" s="249"/>
    </row>
    <row r="170" spans="1:7" ht="93.75" x14ac:dyDescent="0.25">
      <c r="A170" s="13" t="s">
        <v>102</v>
      </c>
      <c r="B170" s="257"/>
      <c r="C170" s="258"/>
      <c r="D170" s="257"/>
      <c r="E170" s="258"/>
      <c r="F170" s="299">
        <f>B170*D170</f>
        <v>0</v>
      </c>
      <c r="G170" s="300"/>
    </row>
    <row r="171" spans="1:7" ht="18.75" x14ac:dyDescent="0.25">
      <c r="A171" s="15"/>
      <c r="B171" s="16"/>
      <c r="C171" s="16"/>
      <c r="D171" s="16"/>
      <c r="E171" s="16"/>
      <c r="F171" s="17"/>
      <c r="G171" s="17"/>
    </row>
    <row r="172" spans="1:7" ht="18.75" x14ac:dyDescent="0.3">
      <c r="A172" s="9" t="s">
        <v>145</v>
      </c>
      <c r="B172" s="10">
        <v>112</v>
      </c>
    </row>
    <row r="173" spans="1:7" x14ac:dyDescent="0.25">
      <c r="A173" s="11"/>
    </row>
    <row r="174" spans="1:7" ht="78" customHeight="1" x14ac:dyDescent="0.25">
      <c r="A174" s="58" t="s">
        <v>86</v>
      </c>
      <c r="B174" s="58" t="s">
        <v>99</v>
      </c>
      <c r="C174" s="58" t="s">
        <v>103</v>
      </c>
      <c r="D174" s="275" t="s">
        <v>104</v>
      </c>
      <c r="E174" s="275"/>
      <c r="F174" s="275" t="s">
        <v>90</v>
      </c>
      <c r="G174" s="275"/>
    </row>
    <row r="175" spans="1:7" ht="18.75" x14ac:dyDescent="0.25">
      <c r="A175" s="58">
        <v>1</v>
      </c>
      <c r="B175" s="58">
        <v>2</v>
      </c>
      <c r="C175" s="58">
        <v>3</v>
      </c>
      <c r="D175" s="275">
        <v>4</v>
      </c>
      <c r="E175" s="275"/>
      <c r="F175" s="275">
        <v>5</v>
      </c>
      <c r="G175" s="275"/>
    </row>
    <row r="176" spans="1:7" ht="56.25" x14ac:dyDescent="0.25">
      <c r="A176" s="13" t="s">
        <v>105</v>
      </c>
      <c r="B176" s="56"/>
      <c r="C176" s="58"/>
      <c r="D176" s="257"/>
      <c r="E176" s="258"/>
      <c r="F176" s="255">
        <f>B176*C176*D176</f>
        <v>0</v>
      </c>
      <c r="G176" s="256"/>
    </row>
    <row r="177" spans="1:7" ht="18.75" x14ac:dyDescent="0.25">
      <c r="A177" s="8"/>
    </row>
    <row r="178" spans="1:7" ht="31.9" customHeight="1" x14ac:dyDescent="0.25">
      <c r="A178" s="274" t="s">
        <v>208</v>
      </c>
      <c r="B178" s="274"/>
      <c r="C178" s="274"/>
      <c r="D178" s="274"/>
      <c r="E178" s="274"/>
      <c r="F178" s="274"/>
      <c r="G178" s="274"/>
    </row>
    <row r="179" spans="1:7" ht="15.75" x14ac:dyDescent="0.25">
      <c r="A179" s="18"/>
    </row>
    <row r="180" spans="1:7" ht="18.75" x14ac:dyDescent="0.3">
      <c r="A180" s="9" t="s">
        <v>147</v>
      </c>
      <c r="B180" s="10">
        <v>321</v>
      </c>
    </row>
    <row r="181" spans="1:7" x14ac:dyDescent="0.25">
      <c r="A181" s="11"/>
    </row>
    <row r="182" spans="1:7" ht="57.6" customHeight="1" x14ac:dyDescent="0.25">
      <c r="A182" s="58" t="s">
        <v>86</v>
      </c>
      <c r="B182" s="275" t="s">
        <v>106</v>
      </c>
      <c r="C182" s="275"/>
      <c r="D182" s="275" t="s">
        <v>107</v>
      </c>
      <c r="E182" s="275"/>
      <c r="F182" s="275" t="s">
        <v>108</v>
      </c>
      <c r="G182" s="275"/>
    </row>
    <row r="183" spans="1:7" ht="18.75" x14ac:dyDescent="0.25">
      <c r="A183" s="58">
        <v>1</v>
      </c>
      <c r="B183" s="257">
        <v>2</v>
      </c>
      <c r="C183" s="258"/>
      <c r="D183" s="257">
        <v>3</v>
      </c>
      <c r="E183" s="258"/>
      <c r="F183" s="257">
        <v>4</v>
      </c>
      <c r="G183" s="258"/>
    </row>
    <row r="184" spans="1:7" ht="131.25" x14ac:dyDescent="0.25">
      <c r="A184" s="13" t="s">
        <v>27</v>
      </c>
      <c r="B184" s="275"/>
      <c r="C184" s="275"/>
      <c r="D184" s="275"/>
      <c r="E184" s="275"/>
      <c r="F184" s="281">
        <f>B184*D184</f>
        <v>0</v>
      </c>
      <c r="G184" s="281"/>
    </row>
    <row r="185" spans="1:7" ht="18.75" x14ac:dyDescent="0.25">
      <c r="A185" s="13" t="s">
        <v>156</v>
      </c>
      <c r="B185" s="275"/>
      <c r="C185" s="275"/>
      <c r="D185" s="275"/>
      <c r="E185" s="275"/>
      <c r="F185" s="281"/>
      <c r="G185" s="281"/>
    </row>
    <row r="186" spans="1:7" ht="18.75" x14ac:dyDescent="0.25">
      <c r="A186" s="8"/>
    </row>
    <row r="187" spans="1:7" ht="34.9" customHeight="1" x14ac:dyDescent="0.25">
      <c r="A187" s="282" t="s">
        <v>226</v>
      </c>
      <c r="B187" s="282"/>
      <c r="C187" s="282"/>
      <c r="D187" s="282"/>
      <c r="E187" s="282"/>
      <c r="F187" s="282"/>
      <c r="G187" s="282"/>
    </row>
    <row r="188" spans="1:7" ht="18.75" x14ac:dyDescent="0.3">
      <c r="A188" s="9" t="s">
        <v>145</v>
      </c>
      <c r="B188" s="10">
        <v>851</v>
      </c>
    </row>
    <row r="189" spans="1:7" x14ac:dyDescent="0.25">
      <c r="A189" s="11"/>
    </row>
    <row r="190" spans="1:7" ht="73.150000000000006" customHeight="1" x14ac:dyDescent="0.25">
      <c r="A190" s="58" t="s">
        <v>86</v>
      </c>
      <c r="B190" s="275" t="s">
        <v>109</v>
      </c>
      <c r="C190" s="275"/>
      <c r="D190" s="275" t="s">
        <v>110</v>
      </c>
      <c r="E190" s="275"/>
      <c r="F190" s="275" t="s">
        <v>111</v>
      </c>
      <c r="G190" s="275"/>
    </row>
    <row r="191" spans="1:7" ht="18.75" x14ac:dyDescent="0.25">
      <c r="A191" s="58">
        <v>1</v>
      </c>
      <c r="B191" s="257">
        <v>2</v>
      </c>
      <c r="C191" s="258"/>
      <c r="D191" s="287">
        <v>3</v>
      </c>
      <c r="E191" s="288"/>
      <c r="F191" s="287">
        <v>4</v>
      </c>
      <c r="G191" s="288"/>
    </row>
    <row r="192" spans="1:7" ht="37.5" x14ac:dyDescent="0.25">
      <c r="A192" s="13" t="s">
        <v>112</v>
      </c>
      <c r="B192" s="287"/>
      <c r="C192" s="288"/>
      <c r="D192" s="287"/>
      <c r="E192" s="288"/>
      <c r="F192" s="255">
        <f>B192*D192/100</f>
        <v>0</v>
      </c>
      <c r="G192" s="256"/>
    </row>
    <row r="193" spans="1:7" ht="37.5" x14ac:dyDescent="0.25">
      <c r="A193" s="13" t="s">
        <v>113</v>
      </c>
      <c r="B193" s="287"/>
      <c r="C193" s="288"/>
      <c r="D193" s="287"/>
      <c r="E193" s="288"/>
      <c r="F193" s="255">
        <f>B193*D193/100</f>
        <v>0</v>
      </c>
      <c r="G193" s="256"/>
    </row>
    <row r="194" spans="1:7" ht="18.75" x14ac:dyDescent="0.25">
      <c r="A194" s="15"/>
      <c r="B194" s="16"/>
      <c r="C194" s="19"/>
      <c r="D194" s="20"/>
      <c r="E194" s="21"/>
      <c r="F194" s="21"/>
      <c r="G194" s="21"/>
    </row>
    <row r="195" spans="1:7" ht="18.75" x14ac:dyDescent="0.25">
      <c r="A195" s="9" t="s">
        <v>114</v>
      </c>
    </row>
    <row r="196" spans="1:7" x14ac:dyDescent="0.25">
      <c r="A196" s="11"/>
    </row>
    <row r="197" spans="1:7" ht="36.6" customHeight="1" x14ac:dyDescent="0.25">
      <c r="A197" s="58" t="s">
        <v>86</v>
      </c>
      <c r="B197" s="275" t="s">
        <v>109</v>
      </c>
      <c r="C197" s="275"/>
      <c r="D197" s="275" t="s">
        <v>110</v>
      </c>
      <c r="E197" s="275"/>
      <c r="F197" s="275" t="s">
        <v>115</v>
      </c>
      <c r="G197" s="275"/>
    </row>
    <row r="198" spans="1:7" ht="18.75" x14ac:dyDescent="0.3">
      <c r="A198" s="58">
        <v>1</v>
      </c>
      <c r="B198" s="257">
        <v>2</v>
      </c>
      <c r="C198" s="258"/>
      <c r="D198" s="257">
        <v>3</v>
      </c>
      <c r="E198" s="258"/>
      <c r="F198" s="248">
        <v>4</v>
      </c>
      <c r="G198" s="249"/>
    </row>
    <row r="199" spans="1:7" ht="39" customHeight="1" x14ac:dyDescent="0.25">
      <c r="A199" s="13" t="s">
        <v>116</v>
      </c>
      <c r="B199" s="257" t="s">
        <v>117</v>
      </c>
      <c r="C199" s="258"/>
      <c r="D199" s="257" t="s">
        <v>117</v>
      </c>
      <c r="E199" s="258"/>
      <c r="F199" s="299">
        <v>0</v>
      </c>
      <c r="G199" s="300"/>
    </row>
    <row r="200" spans="1:7" ht="18.75" x14ac:dyDescent="0.25">
      <c r="A200" s="13" t="s">
        <v>118</v>
      </c>
      <c r="B200" s="287"/>
      <c r="C200" s="288"/>
      <c r="D200" s="287"/>
      <c r="E200" s="288"/>
      <c r="F200" s="287"/>
      <c r="G200" s="288"/>
    </row>
    <row r="201" spans="1:7" ht="18.75" x14ac:dyDescent="0.25">
      <c r="A201" s="9"/>
    </row>
    <row r="202" spans="1:7" ht="18.75" x14ac:dyDescent="0.25">
      <c r="A202" s="9" t="s">
        <v>119</v>
      </c>
    </row>
    <row r="203" spans="1:7" x14ac:dyDescent="0.25">
      <c r="A203" s="11"/>
    </row>
    <row r="204" spans="1:7" ht="42.6" customHeight="1" x14ac:dyDescent="0.25">
      <c r="A204" s="58" t="s">
        <v>86</v>
      </c>
      <c r="B204" s="275" t="s">
        <v>109</v>
      </c>
      <c r="C204" s="275"/>
      <c r="D204" s="275" t="s">
        <v>110</v>
      </c>
      <c r="E204" s="275"/>
      <c r="F204" s="275" t="s">
        <v>115</v>
      </c>
      <c r="G204" s="275"/>
    </row>
    <row r="205" spans="1:7" ht="18.75" x14ac:dyDescent="0.3">
      <c r="A205" s="58">
        <v>1</v>
      </c>
      <c r="B205" s="257">
        <v>2</v>
      </c>
      <c r="C205" s="258"/>
      <c r="D205" s="257">
        <v>3</v>
      </c>
      <c r="E205" s="258"/>
      <c r="F205" s="248">
        <v>4</v>
      </c>
      <c r="G205" s="249"/>
    </row>
    <row r="206" spans="1:7" ht="49.15" customHeight="1" x14ac:dyDescent="0.25">
      <c r="A206" s="13" t="s">
        <v>155</v>
      </c>
      <c r="B206" s="257" t="s">
        <v>117</v>
      </c>
      <c r="C206" s="258"/>
      <c r="D206" s="257" t="s">
        <v>117</v>
      </c>
      <c r="E206" s="258"/>
      <c r="F206" s="299">
        <v>0</v>
      </c>
      <c r="G206" s="300"/>
    </row>
    <row r="207" spans="1:7" ht="15" customHeight="1" x14ac:dyDescent="0.25">
      <c r="A207" s="13" t="s">
        <v>118</v>
      </c>
      <c r="B207" s="287"/>
      <c r="C207" s="288"/>
      <c r="D207" s="287"/>
      <c r="E207" s="288"/>
      <c r="F207" s="336"/>
      <c r="G207" s="337"/>
    </row>
    <row r="208" spans="1:7" ht="18.75" x14ac:dyDescent="0.25">
      <c r="A208" s="8"/>
    </row>
    <row r="209" spans="1:7" ht="45" customHeight="1" x14ac:dyDescent="0.25">
      <c r="A209" s="282" t="s">
        <v>209</v>
      </c>
      <c r="B209" s="282"/>
      <c r="C209" s="282"/>
      <c r="D209" s="282"/>
      <c r="E209" s="282"/>
      <c r="F209" s="282"/>
      <c r="G209" s="282"/>
    </row>
    <row r="210" spans="1:7" ht="15.75" x14ac:dyDescent="0.25">
      <c r="A210" s="18"/>
    </row>
    <row r="211" spans="1:7" ht="18.75" x14ac:dyDescent="0.3">
      <c r="A211" s="9" t="s">
        <v>145</v>
      </c>
      <c r="B211" s="52" t="s">
        <v>210</v>
      </c>
      <c r="C211" s="51"/>
    </row>
    <row r="212" spans="1:7" x14ac:dyDescent="0.25">
      <c r="A212" s="11"/>
    </row>
    <row r="213" spans="1:7" ht="55.9" customHeight="1" x14ac:dyDescent="0.25">
      <c r="A213" s="58" t="s">
        <v>86</v>
      </c>
      <c r="B213" s="275" t="s">
        <v>106</v>
      </c>
      <c r="C213" s="275"/>
      <c r="D213" s="275" t="s">
        <v>107</v>
      </c>
      <c r="E213" s="275"/>
      <c r="F213" s="275" t="s">
        <v>108</v>
      </c>
      <c r="G213" s="275"/>
    </row>
    <row r="214" spans="1:7" ht="18.75" x14ac:dyDescent="0.25">
      <c r="A214" s="58">
        <v>1</v>
      </c>
      <c r="B214" s="275">
        <v>2</v>
      </c>
      <c r="C214" s="275"/>
      <c r="D214" s="275">
        <v>3</v>
      </c>
      <c r="E214" s="275"/>
      <c r="F214" s="275">
        <v>4</v>
      </c>
      <c r="G214" s="275"/>
    </row>
    <row r="215" spans="1:7" ht="18.75" x14ac:dyDescent="0.25">
      <c r="A215" s="13"/>
      <c r="B215" s="313"/>
      <c r="C215" s="313"/>
      <c r="D215" s="313"/>
      <c r="E215" s="313"/>
      <c r="F215" s="281">
        <f>B215*D215</f>
        <v>0</v>
      </c>
      <c r="G215" s="281"/>
    </row>
    <row r="216" spans="1:7" ht="18.75" x14ac:dyDescent="0.25">
      <c r="A216" s="13"/>
      <c r="B216" s="313"/>
      <c r="C216" s="313"/>
      <c r="D216" s="313"/>
      <c r="E216" s="313"/>
      <c r="F216" s="314"/>
      <c r="G216" s="314"/>
    </row>
    <row r="217" spans="1:7" ht="18" customHeight="1" x14ac:dyDescent="0.25">
      <c r="A217" s="8"/>
    </row>
    <row r="218" spans="1:7" ht="18" customHeight="1" x14ac:dyDescent="0.3">
      <c r="A218" s="9" t="s">
        <v>145</v>
      </c>
      <c r="B218" s="52" t="s">
        <v>211</v>
      </c>
      <c r="C218" s="51"/>
    </row>
    <row r="219" spans="1:7" ht="18" customHeight="1" x14ac:dyDescent="0.25">
      <c r="A219" s="11"/>
    </row>
    <row r="220" spans="1:7" ht="44.45" customHeight="1" x14ac:dyDescent="0.25">
      <c r="A220" s="58" t="s">
        <v>86</v>
      </c>
      <c r="B220" s="275" t="s">
        <v>106</v>
      </c>
      <c r="C220" s="275"/>
      <c r="D220" s="275" t="s">
        <v>107</v>
      </c>
      <c r="E220" s="275"/>
      <c r="F220" s="275" t="s">
        <v>108</v>
      </c>
      <c r="G220" s="275"/>
    </row>
    <row r="221" spans="1:7" ht="18" customHeight="1" x14ac:dyDescent="0.25">
      <c r="A221" s="58">
        <v>1</v>
      </c>
      <c r="B221" s="275">
        <v>2</v>
      </c>
      <c r="C221" s="275"/>
      <c r="D221" s="275">
        <v>3</v>
      </c>
      <c r="E221" s="275"/>
      <c r="F221" s="275">
        <v>4</v>
      </c>
      <c r="G221" s="275"/>
    </row>
    <row r="222" spans="1:7" ht="18" customHeight="1" x14ac:dyDescent="0.25">
      <c r="A222" s="13"/>
      <c r="B222" s="313"/>
      <c r="C222" s="313"/>
      <c r="D222" s="313"/>
      <c r="E222" s="313"/>
      <c r="F222" s="281">
        <f>B222*D222</f>
        <v>0</v>
      </c>
      <c r="G222" s="281"/>
    </row>
    <row r="223" spans="1:7" ht="18" customHeight="1" x14ac:dyDescent="0.25">
      <c r="A223" s="13"/>
      <c r="B223" s="313"/>
      <c r="C223" s="313"/>
      <c r="D223" s="313"/>
      <c r="E223" s="313"/>
      <c r="F223" s="314"/>
      <c r="G223" s="314"/>
    </row>
    <row r="224" spans="1:7" ht="18" customHeight="1" x14ac:dyDescent="0.25">
      <c r="A224" s="8"/>
    </row>
    <row r="225" spans="1:7" ht="18" customHeight="1" x14ac:dyDescent="0.3">
      <c r="A225" s="9" t="s">
        <v>145</v>
      </c>
      <c r="B225" s="52" t="s">
        <v>212</v>
      </c>
      <c r="C225" s="51"/>
    </row>
    <row r="226" spans="1:7" ht="18" customHeight="1" x14ac:dyDescent="0.25">
      <c r="A226" s="11"/>
    </row>
    <row r="227" spans="1:7" ht="42" customHeight="1" x14ac:dyDescent="0.25">
      <c r="A227" s="58" t="s">
        <v>86</v>
      </c>
      <c r="B227" s="275" t="s">
        <v>106</v>
      </c>
      <c r="C227" s="275"/>
      <c r="D227" s="275" t="s">
        <v>107</v>
      </c>
      <c r="E227" s="275"/>
      <c r="F227" s="275" t="s">
        <v>108</v>
      </c>
      <c r="G227" s="275"/>
    </row>
    <row r="228" spans="1:7" ht="18" customHeight="1" x14ac:dyDescent="0.25">
      <c r="A228" s="58">
        <v>1</v>
      </c>
      <c r="B228" s="275">
        <v>2</v>
      </c>
      <c r="C228" s="275"/>
      <c r="D228" s="275">
        <v>3</v>
      </c>
      <c r="E228" s="275"/>
      <c r="F228" s="275">
        <v>4</v>
      </c>
      <c r="G228" s="275"/>
    </row>
    <row r="229" spans="1:7" ht="18" customHeight="1" x14ac:dyDescent="0.25">
      <c r="A229" s="13"/>
      <c r="B229" s="313"/>
      <c r="C229" s="313"/>
      <c r="D229" s="313"/>
      <c r="E229" s="313"/>
      <c r="F229" s="314">
        <f>B229*D229</f>
        <v>0</v>
      </c>
      <c r="G229" s="314"/>
    </row>
    <row r="230" spans="1:7" ht="18" customHeight="1" x14ac:dyDescent="0.25">
      <c r="A230" s="13"/>
      <c r="B230" s="313"/>
      <c r="C230" s="313"/>
      <c r="D230" s="313"/>
      <c r="E230" s="313"/>
      <c r="F230" s="314"/>
      <c r="G230" s="314"/>
    </row>
    <row r="231" spans="1:7" ht="18" customHeight="1" x14ac:dyDescent="0.25">
      <c r="A231" s="15"/>
      <c r="B231" s="16"/>
      <c r="C231" s="16"/>
      <c r="D231" s="16"/>
      <c r="E231" s="16"/>
      <c r="F231" s="16"/>
      <c r="G231" s="16"/>
    </row>
    <row r="232" spans="1:7" ht="43.15" customHeight="1" x14ac:dyDescent="0.25">
      <c r="A232" s="282" t="s">
        <v>213</v>
      </c>
      <c r="B232" s="282"/>
      <c r="C232" s="282"/>
      <c r="D232" s="282"/>
      <c r="E232" s="282"/>
      <c r="F232" s="282"/>
      <c r="G232" s="282"/>
    </row>
    <row r="233" spans="1:7" ht="18" customHeight="1" x14ac:dyDescent="0.3">
      <c r="A233" s="9" t="s">
        <v>145</v>
      </c>
      <c r="B233" s="10">
        <v>853</v>
      </c>
    </row>
    <row r="234" spans="1:7" ht="18" customHeight="1" x14ac:dyDescent="0.25">
      <c r="A234" s="11"/>
    </row>
    <row r="235" spans="1:7" ht="61.9" customHeight="1" x14ac:dyDescent="0.25">
      <c r="A235" s="58" t="s">
        <v>86</v>
      </c>
      <c r="B235" s="275" t="s">
        <v>109</v>
      </c>
      <c r="C235" s="275"/>
      <c r="D235" s="275" t="s">
        <v>110</v>
      </c>
      <c r="E235" s="275"/>
      <c r="F235" s="275" t="s">
        <v>111</v>
      </c>
      <c r="G235" s="275"/>
    </row>
    <row r="236" spans="1:7" ht="18" customHeight="1" x14ac:dyDescent="0.25">
      <c r="A236" s="58">
        <v>1</v>
      </c>
      <c r="B236" s="275">
        <v>2</v>
      </c>
      <c r="C236" s="275"/>
      <c r="D236" s="275">
        <v>3</v>
      </c>
      <c r="E236" s="275"/>
      <c r="F236" s="275">
        <v>4</v>
      </c>
      <c r="G236" s="275"/>
    </row>
    <row r="237" spans="1:7" ht="18" customHeight="1" x14ac:dyDescent="0.25">
      <c r="A237" s="58"/>
      <c r="B237" s="257"/>
      <c r="C237" s="258"/>
      <c r="D237" s="257"/>
      <c r="E237" s="258"/>
      <c r="F237" s="257"/>
      <c r="G237" s="258"/>
    </row>
    <row r="238" spans="1:7" ht="18" customHeight="1" x14ac:dyDescent="0.25">
      <c r="A238" s="58" t="s">
        <v>245</v>
      </c>
      <c r="B238" s="257"/>
      <c r="C238" s="258"/>
      <c r="D238" s="257"/>
      <c r="E238" s="258"/>
      <c r="F238" s="255">
        <v>0</v>
      </c>
      <c r="G238" s="256"/>
    </row>
    <row r="239" spans="1:7" ht="18" customHeight="1" x14ac:dyDescent="0.25">
      <c r="A239" s="58"/>
      <c r="B239" s="257"/>
      <c r="C239" s="258"/>
      <c r="D239" s="257"/>
      <c r="E239" s="258"/>
      <c r="F239" s="257"/>
      <c r="G239" s="258"/>
    </row>
    <row r="240" spans="1:7" ht="18" customHeight="1" x14ac:dyDescent="0.25">
      <c r="A240" s="58" t="s">
        <v>246</v>
      </c>
      <c r="B240" s="257"/>
      <c r="C240" s="258"/>
      <c r="D240" s="257"/>
      <c r="E240" s="258"/>
      <c r="F240" s="255">
        <v>0</v>
      </c>
      <c r="G240" s="256"/>
    </row>
    <row r="241" spans="1:7" ht="18" customHeight="1" x14ac:dyDescent="0.25">
      <c r="A241" s="58"/>
      <c r="B241" s="257"/>
      <c r="C241" s="258"/>
      <c r="D241" s="257"/>
      <c r="E241" s="258"/>
      <c r="F241" s="257"/>
      <c r="G241" s="258"/>
    </row>
    <row r="242" spans="1:7" ht="18" customHeight="1" x14ac:dyDescent="0.25">
      <c r="A242" s="58" t="s">
        <v>247</v>
      </c>
      <c r="B242" s="257"/>
      <c r="C242" s="258"/>
      <c r="D242" s="257"/>
      <c r="E242" s="258"/>
      <c r="F242" s="255">
        <v>0</v>
      </c>
      <c r="G242" s="256"/>
    </row>
    <row r="243" spans="1:7" ht="18" customHeight="1" x14ac:dyDescent="0.25">
      <c r="A243" s="58"/>
      <c r="B243" s="257"/>
      <c r="C243" s="258"/>
      <c r="D243" s="257"/>
      <c r="E243" s="258"/>
      <c r="F243" s="257"/>
      <c r="G243" s="258"/>
    </row>
    <row r="244" spans="1:7" ht="18" customHeight="1" x14ac:dyDescent="0.25">
      <c r="A244" s="58" t="s">
        <v>248</v>
      </c>
      <c r="B244" s="257"/>
      <c r="C244" s="258"/>
      <c r="D244" s="257"/>
      <c r="E244" s="258"/>
      <c r="F244" s="255">
        <v>0</v>
      </c>
      <c r="G244" s="256"/>
    </row>
    <row r="245" spans="1:7" ht="18" customHeight="1" x14ac:dyDescent="0.25">
      <c r="A245" s="58"/>
      <c r="B245" s="257"/>
      <c r="C245" s="258"/>
      <c r="D245" s="257"/>
      <c r="E245" s="258"/>
      <c r="F245" s="257"/>
      <c r="G245" s="258"/>
    </row>
    <row r="246" spans="1:7" ht="18" customHeight="1" x14ac:dyDescent="0.25">
      <c r="A246" s="58" t="s">
        <v>249</v>
      </c>
      <c r="B246" s="257"/>
      <c r="C246" s="258"/>
      <c r="D246" s="257"/>
      <c r="E246" s="258"/>
      <c r="F246" s="255">
        <v>0</v>
      </c>
      <c r="G246" s="256"/>
    </row>
    <row r="247" spans="1:7" ht="18" customHeight="1" x14ac:dyDescent="0.25">
      <c r="A247" s="13"/>
      <c r="B247" s="313"/>
      <c r="C247" s="313"/>
      <c r="D247" s="313"/>
      <c r="E247" s="313"/>
      <c r="F247" s="314"/>
      <c r="G247" s="314"/>
    </row>
    <row r="248" spans="1:7" ht="18" customHeight="1" x14ac:dyDescent="0.25">
      <c r="A248" s="15"/>
      <c r="B248" s="16"/>
      <c r="C248" s="16"/>
      <c r="D248" s="16"/>
      <c r="E248" s="16"/>
      <c r="F248" s="16"/>
      <c r="G248" s="16"/>
    </row>
    <row r="249" spans="1:7" ht="28.9" customHeight="1" x14ac:dyDescent="0.25">
      <c r="A249" s="282" t="s">
        <v>214</v>
      </c>
      <c r="B249" s="282"/>
      <c r="C249" s="282"/>
      <c r="D249" s="282"/>
      <c r="E249" s="282"/>
      <c r="F249" s="282"/>
      <c r="G249" s="282"/>
    </row>
    <row r="250" spans="1:7" ht="41.45" customHeight="1" x14ac:dyDescent="0.25">
      <c r="A250" s="276" t="s">
        <v>215</v>
      </c>
      <c r="B250" s="276"/>
      <c r="C250" s="276"/>
      <c r="D250" s="276"/>
      <c r="E250" s="276"/>
      <c r="F250" s="276"/>
      <c r="G250" s="276"/>
    </row>
    <row r="251" spans="1:7" ht="18.75" x14ac:dyDescent="0.25">
      <c r="A251" s="61"/>
      <c r="B251" s="61"/>
      <c r="C251" s="61"/>
      <c r="D251" s="61"/>
      <c r="E251" s="61"/>
      <c r="F251" s="61"/>
      <c r="G251" s="61"/>
    </row>
    <row r="252" spans="1:7" ht="18.75" x14ac:dyDescent="0.25">
      <c r="A252" s="9" t="s">
        <v>145</v>
      </c>
      <c r="B252" s="19">
        <v>244</v>
      </c>
      <c r="C252" s="61"/>
      <c r="D252" s="61"/>
      <c r="E252" s="61"/>
      <c r="F252" s="61"/>
      <c r="G252" s="61"/>
    </row>
    <row r="253" spans="1:7" ht="18.75" x14ac:dyDescent="0.25">
      <c r="A253" s="22"/>
      <c r="B253" s="22"/>
      <c r="C253" s="22"/>
      <c r="D253" s="22"/>
      <c r="E253" s="22"/>
      <c r="F253" s="22"/>
      <c r="G253" s="22"/>
    </row>
    <row r="254" spans="1:7" ht="58.9" customHeight="1" x14ac:dyDescent="0.25">
      <c r="A254" s="58" t="s">
        <v>86</v>
      </c>
      <c r="B254" s="275" t="s">
        <v>160</v>
      </c>
      <c r="C254" s="275"/>
      <c r="D254" s="275" t="s">
        <v>122</v>
      </c>
      <c r="E254" s="275"/>
      <c r="F254" s="275" t="s">
        <v>161</v>
      </c>
      <c r="G254" s="275"/>
    </row>
    <row r="255" spans="1:7" ht="28.9" customHeight="1" x14ac:dyDescent="0.25">
      <c r="A255" s="58">
        <v>1</v>
      </c>
      <c r="B255" s="257">
        <v>2</v>
      </c>
      <c r="C255" s="258"/>
      <c r="D255" s="257">
        <v>3</v>
      </c>
      <c r="E255" s="258"/>
      <c r="F255" s="287">
        <v>4</v>
      </c>
      <c r="G255" s="288"/>
    </row>
    <row r="256" spans="1:7" ht="28.9" customHeight="1" x14ac:dyDescent="0.25">
      <c r="A256" s="13" t="s">
        <v>159</v>
      </c>
      <c r="B256" s="287"/>
      <c r="C256" s="288"/>
      <c r="D256" s="287"/>
      <c r="E256" s="288"/>
      <c r="F256" s="255">
        <f>B256*D256</f>
        <v>0</v>
      </c>
      <c r="G256" s="256"/>
    </row>
    <row r="257" spans="1:7" ht="28.9" customHeight="1" x14ac:dyDescent="0.25">
      <c r="A257" s="13" t="s">
        <v>120</v>
      </c>
      <c r="B257" s="287"/>
      <c r="C257" s="288"/>
      <c r="D257" s="287"/>
      <c r="E257" s="288"/>
      <c r="F257" s="336"/>
      <c r="G257" s="337"/>
    </row>
    <row r="258" spans="1:7" ht="18.75" x14ac:dyDescent="0.25">
      <c r="A258" s="57"/>
      <c r="B258" s="57"/>
      <c r="C258" s="57"/>
      <c r="D258" s="57"/>
      <c r="E258" s="57"/>
      <c r="F258" s="57"/>
      <c r="G258" s="57"/>
    </row>
    <row r="259" spans="1:7" ht="24.6" customHeight="1" x14ac:dyDescent="0.25">
      <c r="A259" s="274" t="s">
        <v>216</v>
      </c>
      <c r="B259" s="274"/>
      <c r="C259" s="274"/>
      <c r="D259" s="274"/>
      <c r="E259" s="274"/>
      <c r="F259" s="274"/>
      <c r="G259" s="274"/>
    </row>
    <row r="260" spans="1:7" ht="18.75" x14ac:dyDescent="0.25">
      <c r="A260" s="9"/>
    </row>
    <row r="261" spans="1:7" ht="18.75" x14ac:dyDescent="0.3">
      <c r="A261" s="9" t="s">
        <v>145</v>
      </c>
      <c r="B261" s="10">
        <v>244</v>
      </c>
    </row>
    <row r="262" spans="1:7" ht="18.75" x14ac:dyDescent="0.25">
      <c r="A262" s="8"/>
    </row>
    <row r="263" spans="1:7" ht="54.6" customHeight="1" x14ac:dyDescent="0.25">
      <c r="A263" s="58" t="s">
        <v>86</v>
      </c>
      <c r="B263" s="275" t="s">
        <v>121</v>
      </c>
      <c r="C263" s="275"/>
      <c r="D263" s="275" t="s">
        <v>122</v>
      </c>
      <c r="E263" s="275"/>
      <c r="F263" s="275" t="s">
        <v>186</v>
      </c>
      <c r="G263" s="275"/>
    </row>
    <row r="264" spans="1:7" ht="18.75" x14ac:dyDescent="0.25">
      <c r="A264" s="58">
        <v>1</v>
      </c>
      <c r="B264" s="257">
        <v>2</v>
      </c>
      <c r="C264" s="258"/>
      <c r="D264" s="257">
        <v>3</v>
      </c>
      <c r="E264" s="258"/>
      <c r="F264" s="287">
        <v>4</v>
      </c>
      <c r="G264" s="288"/>
    </row>
    <row r="265" spans="1:7" ht="37.5" x14ac:dyDescent="0.25">
      <c r="A265" s="13" t="s">
        <v>123</v>
      </c>
      <c r="B265" s="287"/>
      <c r="C265" s="288"/>
      <c r="D265" s="287"/>
      <c r="E265" s="288"/>
      <c r="F265" s="255">
        <f>B265*D265*12</f>
        <v>0</v>
      </c>
      <c r="G265" s="256"/>
    </row>
    <row r="266" spans="1:7" ht="18.75" x14ac:dyDescent="0.25">
      <c r="A266" s="13" t="s">
        <v>124</v>
      </c>
      <c r="B266" s="287"/>
      <c r="C266" s="288"/>
      <c r="D266" s="287"/>
      <c r="E266" s="288"/>
      <c r="F266" s="255">
        <f t="shared" ref="F266" si="0">B266*D266*12</f>
        <v>0</v>
      </c>
      <c r="G266" s="256"/>
    </row>
    <row r="267" spans="1:7" ht="18.75" x14ac:dyDescent="0.25">
      <c r="A267" s="13" t="s">
        <v>120</v>
      </c>
      <c r="B267" s="287"/>
      <c r="C267" s="288"/>
      <c r="D267" s="287"/>
      <c r="E267" s="288"/>
      <c r="F267" s="336"/>
      <c r="G267" s="337"/>
    </row>
    <row r="268" spans="1:7" x14ac:dyDescent="0.25">
      <c r="A268" s="23"/>
    </row>
    <row r="269" spans="1:7" ht="18.75" x14ac:dyDescent="0.25">
      <c r="A269" s="274" t="s">
        <v>217</v>
      </c>
      <c r="B269" s="274"/>
      <c r="C269" s="274"/>
      <c r="D269" s="274"/>
      <c r="E269" s="274"/>
      <c r="F269" s="274"/>
      <c r="G269" s="274"/>
    </row>
    <row r="270" spans="1:7" ht="18.75" x14ac:dyDescent="0.25">
      <c r="A270" s="9"/>
    </row>
    <row r="271" spans="1:7" ht="18.75" x14ac:dyDescent="0.3">
      <c r="A271" s="9" t="s">
        <v>145</v>
      </c>
      <c r="B271" s="10">
        <v>244</v>
      </c>
    </row>
    <row r="272" spans="1:7" ht="18.75" x14ac:dyDescent="0.25">
      <c r="A272" s="8"/>
    </row>
    <row r="273" spans="1:7" ht="50.45" customHeight="1" x14ac:dyDescent="0.25">
      <c r="A273" s="58" t="s">
        <v>86</v>
      </c>
      <c r="B273" s="275" t="s">
        <v>125</v>
      </c>
      <c r="C273" s="275"/>
      <c r="D273" s="275" t="s">
        <v>93</v>
      </c>
      <c r="E273" s="275"/>
      <c r="F273" s="275" t="s">
        <v>186</v>
      </c>
      <c r="G273" s="275"/>
    </row>
    <row r="274" spans="1:7" ht="18.75" x14ac:dyDescent="0.25">
      <c r="A274" s="58">
        <v>1</v>
      </c>
      <c r="B274" s="257">
        <v>2</v>
      </c>
      <c r="C274" s="258"/>
      <c r="D274" s="257">
        <v>3</v>
      </c>
      <c r="E274" s="258"/>
      <c r="F274" s="257">
        <v>4</v>
      </c>
      <c r="G274" s="258"/>
    </row>
    <row r="275" spans="1:7" ht="18.75" x14ac:dyDescent="0.25">
      <c r="A275" s="13"/>
      <c r="B275" s="257"/>
      <c r="C275" s="258"/>
      <c r="D275" s="257"/>
      <c r="E275" s="258"/>
      <c r="F275" s="255">
        <f>B275*D275*12</f>
        <v>0</v>
      </c>
      <c r="G275" s="256"/>
    </row>
    <row r="276" spans="1:7" ht="18.75" x14ac:dyDescent="0.25">
      <c r="A276" s="13" t="s">
        <v>120</v>
      </c>
      <c r="B276" s="257"/>
      <c r="C276" s="258"/>
      <c r="D276" s="257"/>
      <c r="E276" s="258"/>
      <c r="F276" s="255">
        <f>B276*D276*12</f>
        <v>0</v>
      </c>
      <c r="G276" s="256"/>
    </row>
    <row r="277" spans="1:7" ht="18.75" x14ac:dyDescent="0.25">
      <c r="A277" s="8"/>
    </row>
    <row r="278" spans="1:7" ht="18.75" x14ac:dyDescent="0.25">
      <c r="A278" s="274" t="s">
        <v>218</v>
      </c>
      <c r="B278" s="274"/>
      <c r="C278" s="274"/>
      <c r="D278" s="274"/>
      <c r="E278" s="274"/>
      <c r="F278" s="274"/>
      <c r="G278" s="274"/>
    </row>
    <row r="279" spans="1:7" ht="18.75" x14ac:dyDescent="0.25">
      <c r="A279" s="9"/>
    </row>
    <row r="280" spans="1:7" ht="18.75" x14ac:dyDescent="0.3">
      <c r="A280" s="9" t="s">
        <v>145</v>
      </c>
      <c r="B280" s="10">
        <v>244</v>
      </c>
    </row>
    <row r="281" spans="1:7" ht="18.75" x14ac:dyDescent="0.25">
      <c r="A281" s="8"/>
    </row>
    <row r="282" spans="1:7" ht="54.6" customHeight="1" x14ac:dyDescent="0.25">
      <c r="A282" s="58" t="s">
        <v>86</v>
      </c>
      <c r="B282" s="275" t="s">
        <v>126</v>
      </c>
      <c r="C282" s="275"/>
      <c r="D282" s="275" t="s">
        <v>127</v>
      </c>
      <c r="E282" s="275"/>
      <c r="F282" s="275" t="s">
        <v>94</v>
      </c>
      <c r="G282" s="275"/>
    </row>
    <row r="283" spans="1:7" ht="18.75" x14ac:dyDescent="0.25">
      <c r="A283" s="58">
        <v>1</v>
      </c>
      <c r="B283" s="257">
        <v>2</v>
      </c>
      <c r="C283" s="258"/>
      <c r="D283" s="257">
        <v>3</v>
      </c>
      <c r="E283" s="258"/>
      <c r="F283" s="257">
        <v>4</v>
      </c>
      <c r="G283" s="258"/>
    </row>
    <row r="284" spans="1:7" ht="75" x14ac:dyDescent="0.25">
      <c r="A284" s="13" t="s">
        <v>18</v>
      </c>
      <c r="B284" s="257"/>
      <c r="C284" s="258"/>
      <c r="D284" s="257"/>
      <c r="E284" s="258"/>
      <c r="F284" s="255">
        <f>B284*D284</f>
        <v>0</v>
      </c>
      <c r="G284" s="256"/>
    </row>
    <row r="285" spans="1:7" ht="37.5" x14ac:dyDescent="0.25">
      <c r="A285" s="13" t="s">
        <v>19</v>
      </c>
      <c r="B285" s="257"/>
      <c r="C285" s="258"/>
      <c r="D285" s="257"/>
      <c r="E285" s="258"/>
      <c r="F285" s="255">
        <f t="shared" ref="F285:F288" si="1">B285*D285</f>
        <v>0</v>
      </c>
      <c r="G285" s="256"/>
    </row>
    <row r="286" spans="1:7" ht="75" x14ac:dyDescent="0.25">
      <c r="A286" s="13" t="s">
        <v>20</v>
      </c>
      <c r="B286" s="257"/>
      <c r="C286" s="258"/>
      <c r="D286" s="257"/>
      <c r="E286" s="258"/>
      <c r="F286" s="255">
        <f t="shared" si="1"/>
        <v>0</v>
      </c>
      <c r="G286" s="256"/>
    </row>
    <row r="287" spans="1:7" ht="75" x14ac:dyDescent="0.25">
      <c r="A287" s="13" t="s">
        <v>21</v>
      </c>
      <c r="B287" s="257"/>
      <c r="C287" s="258"/>
      <c r="D287" s="257"/>
      <c r="E287" s="258"/>
      <c r="F287" s="255">
        <f t="shared" si="1"/>
        <v>0</v>
      </c>
      <c r="G287" s="256"/>
    </row>
    <row r="288" spans="1:7" ht="56.25" x14ac:dyDescent="0.25">
      <c r="A288" s="24" t="s">
        <v>22</v>
      </c>
      <c r="B288" s="257"/>
      <c r="C288" s="258"/>
      <c r="D288" s="257"/>
      <c r="E288" s="258"/>
      <c r="F288" s="255">
        <f t="shared" si="1"/>
        <v>0</v>
      </c>
      <c r="G288" s="256"/>
    </row>
    <row r="289" spans="1:7" ht="18.75" x14ac:dyDescent="0.25">
      <c r="A289" s="25"/>
      <c r="B289" s="26"/>
      <c r="C289" s="26"/>
      <c r="D289" s="26"/>
      <c r="E289" s="26"/>
      <c r="F289" s="26"/>
      <c r="G289" s="26"/>
    </row>
    <row r="290" spans="1:7" ht="18.75" x14ac:dyDescent="0.25">
      <c r="A290" s="341" t="s">
        <v>219</v>
      </c>
      <c r="B290" s="341"/>
      <c r="C290" s="341"/>
      <c r="D290" s="341"/>
      <c r="E290" s="341"/>
      <c r="F290" s="341"/>
      <c r="G290" s="341"/>
    </row>
    <row r="291" spans="1:7" ht="18.75" x14ac:dyDescent="0.25">
      <c r="A291" s="62"/>
      <c r="B291" s="62"/>
      <c r="C291" s="62"/>
      <c r="D291" s="62"/>
      <c r="E291" s="62"/>
      <c r="F291" s="62"/>
      <c r="G291" s="62"/>
    </row>
    <row r="292" spans="1:7" ht="18.75" x14ac:dyDescent="0.3">
      <c r="A292" s="9" t="s">
        <v>145</v>
      </c>
      <c r="B292" s="10">
        <v>244</v>
      </c>
    </row>
    <row r="293" spans="1:7" ht="18.75" x14ac:dyDescent="0.25">
      <c r="A293" s="8"/>
    </row>
    <row r="294" spans="1:7" ht="44.45" customHeight="1" x14ac:dyDescent="0.25">
      <c r="A294" s="58" t="s">
        <v>86</v>
      </c>
      <c r="B294" s="275" t="s">
        <v>128</v>
      </c>
      <c r="C294" s="275"/>
      <c r="D294" s="275" t="s">
        <v>148</v>
      </c>
      <c r="E294" s="275"/>
      <c r="F294" s="275" t="s">
        <v>129</v>
      </c>
      <c r="G294" s="275"/>
    </row>
    <row r="295" spans="1:7" ht="18.75" x14ac:dyDescent="0.25">
      <c r="A295" s="58">
        <v>1</v>
      </c>
      <c r="B295" s="257">
        <v>2</v>
      </c>
      <c r="C295" s="258"/>
      <c r="D295" s="257">
        <v>3</v>
      </c>
      <c r="E295" s="258"/>
      <c r="F295" s="257">
        <v>4</v>
      </c>
      <c r="G295" s="258"/>
    </row>
    <row r="296" spans="1:7" ht="37.5" x14ac:dyDescent="0.25">
      <c r="A296" s="13" t="s">
        <v>130</v>
      </c>
      <c r="B296" s="257"/>
      <c r="C296" s="258"/>
      <c r="D296" s="257"/>
      <c r="E296" s="258"/>
      <c r="F296" s="255">
        <f>B296*D296</f>
        <v>0</v>
      </c>
      <c r="G296" s="256"/>
    </row>
    <row r="297" spans="1:7" ht="18.75" x14ac:dyDescent="0.25">
      <c r="A297" s="13" t="s">
        <v>118</v>
      </c>
      <c r="B297" s="257"/>
      <c r="C297" s="258"/>
      <c r="D297" s="257"/>
      <c r="E297" s="258"/>
      <c r="F297" s="255">
        <f>B297*D297</f>
        <v>0</v>
      </c>
      <c r="G297" s="256"/>
    </row>
    <row r="298" spans="1:7" ht="18.75" x14ac:dyDescent="0.25">
      <c r="A298" s="27"/>
      <c r="B298" s="26"/>
      <c r="C298" s="26"/>
      <c r="D298" s="26"/>
      <c r="E298" s="26"/>
      <c r="F298" s="26"/>
      <c r="G298" s="26"/>
    </row>
    <row r="299" spans="1:7" ht="39" customHeight="1" x14ac:dyDescent="0.25">
      <c r="A299" s="276" t="s">
        <v>220</v>
      </c>
      <c r="B299" s="276"/>
      <c r="C299" s="276"/>
      <c r="D299" s="276"/>
      <c r="E299" s="276"/>
      <c r="F299" s="276"/>
      <c r="G299" s="276"/>
    </row>
    <row r="300" spans="1:7" ht="18.75" x14ac:dyDescent="0.25">
      <c r="A300" s="9"/>
    </row>
    <row r="301" spans="1:7" ht="18.75" x14ac:dyDescent="0.3">
      <c r="A301" s="9" t="s">
        <v>145</v>
      </c>
      <c r="B301" s="10">
        <v>243</v>
      </c>
    </row>
    <row r="302" spans="1:7" ht="18.75" x14ac:dyDescent="0.25">
      <c r="A302" s="8"/>
    </row>
    <row r="303" spans="1:7" ht="39.6" customHeight="1" x14ac:dyDescent="0.25">
      <c r="A303" s="275" t="s">
        <v>86</v>
      </c>
      <c r="B303" s="275"/>
      <c r="C303" s="275"/>
      <c r="D303" s="275" t="s">
        <v>131</v>
      </c>
      <c r="E303" s="275"/>
      <c r="F303" s="275" t="s">
        <v>132</v>
      </c>
      <c r="G303" s="275"/>
    </row>
    <row r="304" spans="1:7" ht="18.75" x14ac:dyDescent="0.3">
      <c r="A304" s="275">
        <v>1</v>
      </c>
      <c r="B304" s="275"/>
      <c r="C304" s="275"/>
      <c r="D304" s="248">
        <v>2</v>
      </c>
      <c r="E304" s="249"/>
      <c r="F304" s="248">
        <v>3</v>
      </c>
      <c r="G304" s="249"/>
    </row>
    <row r="305" spans="1:7" ht="43.15" customHeight="1" x14ac:dyDescent="0.25">
      <c r="A305" s="247" t="s">
        <v>163</v>
      </c>
      <c r="B305" s="247"/>
      <c r="C305" s="247"/>
      <c r="D305" s="283"/>
      <c r="E305" s="284"/>
      <c r="F305" s="299">
        <v>0</v>
      </c>
      <c r="G305" s="300"/>
    </row>
    <row r="306" spans="1:7" ht="18.75" x14ac:dyDescent="0.25">
      <c r="A306" s="252" t="s">
        <v>120</v>
      </c>
      <c r="B306" s="253"/>
      <c r="C306" s="254"/>
      <c r="D306" s="283"/>
      <c r="E306" s="284"/>
      <c r="F306" s="338"/>
      <c r="G306" s="340"/>
    </row>
    <row r="307" spans="1:7" ht="18.75" x14ac:dyDescent="0.25">
      <c r="A307" s="28"/>
      <c r="B307" s="28"/>
      <c r="C307" s="28"/>
      <c r="D307" s="17"/>
      <c r="E307" s="17"/>
      <c r="F307" s="17"/>
      <c r="G307" s="17"/>
    </row>
    <row r="308" spans="1:7" ht="18.75" x14ac:dyDescent="0.3">
      <c r="A308" s="9" t="s">
        <v>145</v>
      </c>
      <c r="B308" s="10">
        <v>244</v>
      </c>
    </row>
    <row r="309" spans="1:7" ht="18.75" x14ac:dyDescent="0.25">
      <c r="A309" s="8"/>
    </row>
    <row r="310" spans="1:7" ht="43.9" customHeight="1" x14ac:dyDescent="0.25">
      <c r="A310" s="275" t="s">
        <v>86</v>
      </c>
      <c r="B310" s="275"/>
      <c r="C310" s="275"/>
      <c r="D310" s="275" t="s">
        <v>131</v>
      </c>
      <c r="E310" s="275"/>
      <c r="F310" s="275" t="s">
        <v>132</v>
      </c>
      <c r="G310" s="275"/>
    </row>
    <row r="311" spans="1:7" ht="18.75" x14ac:dyDescent="0.3">
      <c r="A311" s="275">
        <v>1</v>
      </c>
      <c r="B311" s="275"/>
      <c r="C311" s="275"/>
      <c r="D311" s="248">
        <v>2</v>
      </c>
      <c r="E311" s="249"/>
      <c r="F311" s="248">
        <v>3</v>
      </c>
      <c r="G311" s="249"/>
    </row>
    <row r="312" spans="1:7" ht="34.15" customHeight="1" x14ac:dyDescent="0.25">
      <c r="A312" s="247" t="s">
        <v>133</v>
      </c>
      <c r="B312" s="247"/>
      <c r="C312" s="247"/>
      <c r="D312" s="283"/>
      <c r="E312" s="284"/>
      <c r="F312" s="299">
        <v>0</v>
      </c>
      <c r="G312" s="300"/>
    </row>
    <row r="313" spans="1:7" ht="34.15" customHeight="1" x14ac:dyDescent="0.25">
      <c r="A313" s="247" t="s">
        <v>134</v>
      </c>
      <c r="B313" s="247"/>
      <c r="C313" s="247"/>
      <c r="D313" s="283"/>
      <c r="E313" s="284"/>
      <c r="F313" s="299">
        <v>0</v>
      </c>
      <c r="G313" s="300"/>
    </row>
    <row r="314" spans="1:7" ht="34.15" customHeight="1" x14ac:dyDescent="0.25">
      <c r="A314" s="247" t="s">
        <v>135</v>
      </c>
      <c r="B314" s="247"/>
      <c r="C314" s="247"/>
      <c r="D314" s="283"/>
      <c r="E314" s="284"/>
      <c r="F314" s="299">
        <v>0</v>
      </c>
      <c r="G314" s="300"/>
    </row>
    <row r="315" spans="1:7" ht="34.15" customHeight="1" x14ac:dyDescent="0.25">
      <c r="A315" s="247" t="s">
        <v>136</v>
      </c>
      <c r="B315" s="247"/>
      <c r="C315" s="247"/>
      <c r="D315" s="283"/>
      <c r="E315" s="284"/>
      <c r="F315" s="299">
        <v>0</v>
      </c>
      <c r="G315" s="300"/>
    </row>
    <row r="316" spans="1:7" ht="18.75" x14ac:dyDescent="0.25">
      <c r="A316" s="252" t="s">
        <v>120</v>
      </c>
      <c r="B316" s="253"/>
      <c r="C316" s="254"/>
      <c r="D316" s="283"/>
      <c r="E316" s="284"/>
      <c r="F316" s="338"/>
      <c r="G316" s="340"/>
    </row>
    <row r="317" spans="1:7" ht="18.75" x14ac:dyDescent="0.25">
      <c r="A317" s="29"/>
    </row>
    <row r="318" spans="1:7" ht="18.75" x14ac:dyDescent="0.25">
      <c r="A318" s="274" t="s">
        <v>221</v>
      </c>
      <c r="B318" s="274"/>
      <c r="C318" s="274"/>
      <c r="D318" s="274"/>
      <c r="E318" s="274"/>
      <c r="F318" s="274"/>
      <c r="G318" s="274"/>
    </row>
    <row r="319" spans="1:7" ht="18.75" x14ac:dyDescent="0.25">
      <c r="A319" s="9"/>
    </row>
    <row r="320" spans="1:7" ht="18.75" x14ac:dyDescent="0.3">
      <c r="A320" s="9" t="s">
        <v>145</v>
      </c>
      <c r="B320" s="10">
        <v>243</v>
      </c>
    </row>
    <row r="321" spans="1:7" ht="18.75" x14ac:dyDescent="0.25">
      <c r="A321" s="8"/>
    </row>
    <row r="322" spans="1:7" ht="28.9" customHeight="1" x14ac:dyDescent="0.25">
      <c r="A322" s="275" t="s">
        <v>86</v>
      </c>
      <c r="B322" s="275"/>
      <c r="C322" s="275"/>
      <c r="D322" s="275" t="s">
        <v>137</v>
      </c>
      <c r="E322" s="275"/>
      <c r="F322" s="275" t="s">
        <v>138</v>
      </c>
      <c r="G322" s="275"/>
    </row>
    <row r="323" spans="1:7" ht="18.75" x14ac:dyDescent="0.3">
      <c r="A323" s="257">
        <v>1</v>
      </c>
      <c r="B323" s="286"/>
      <c r="C323" s="258"/>
      <c r="D323" s="248">
        <v>2</v>
      </c>
      <c r="E323" s="249"/>
      <c r="F323" s="248">
        <v>3</v>
      </c>
      <c r="G323" s="249"/>
    </row>
    <row r="324" spans="1:7" ht="38.450000000000003" customHeight="1" x14ac:dyDescent="0.25">
      <c r="A324" s="252" t="s">
        <v>162</v>
      </c>
      <c r="B324" s="253"/>
      <c r="C324" s="254"/>
      <c r="D324" s="283"/>
      <c r="E324" s="284"/>
      <c r="F324" s="299">
        <v>0</v>
      </c>
      <c r="G324" s="300"/>
    </row>
    <row r="325" spans="1:7" ht="18.75" x14ac:dyDescent="0.25">
      <c r="A325" s="252" t="s">
        <v>120</v>
      </c>
      <c r="B325" s="253"/>
      <c r="C325" s="254"/>
      <c r="D325" s="283"/>
      <c r="E325" s="284"/>
      <c r="F325" s="338"/>
      <c r="G325" s="340"/>
    </row>
    <row r="326" spans="1:7" ht="18.75" x14ac:dyDescent="0.25">
      <c r="A326" s="28"/>
      <c r="B326" s="28"/>
      <c r="C326" s="28"/>
      <c r="D326" s="17"/>
      <c r="E326" s="17"/>
      <c r="F326" s="17"/>
      <c r="G326" s="17"/>
    </row>
    <row r="327" spans="1:7" ht="18.75" x14ac:dyDescent="0.3">
      <c r="A327" s="9" t="s">
        <v>145</v>
      </c>
      <c r="B327" s="10">
        <v>244</v>
      </c>
    </row>
    <row r="328" spans="1:7" ht="18.75" x14ac:dyDescent="0.25">
      <c r="A328" s="8"/>
    </row>
    <row r="329" spans="1:7" ht="30" customHeight="1" x14ac:dyDescent="0.25">
      <c r="A329" s="275" t="s">
        <v>86</v>
      </c>
      <c r="B329" s="275"/>
      <c r="C329" s="275"/>
      <c r="D329" s="275" t="s">
        <v>137</v>
      </c>
      <c r="E329" s="275"/>
      <c r="F329" s="275" t="s">
        <v>138</v>
      </c>
      <c r="G329" s="275"/>
    </row>
    <row r="330" spans="1:7" ht="18.75" x14ac:dyDescent="0.3">
      <c r="A330" s="257">
        <v>1</v>
      </c>
      <c r="B330" s="286"/>
      <c r="C330" s="258"/>
      <c r="D330" s="248">
        <v>2</v>
      </c>
      <c r="E330" s="249"/>
      <c r="F330" s="248">
        <v>3</v>
      </c>
      <c r="G330" s="249"/>
    </row>
    <row r="331" spans="1:7" ht="18.75" x14ac:dyDescent="0.25">
      <c r="A331" s="252" t="s">
        <v>139</v>
      </c>
      <c r="B331" s="253"/>
      <c r="C331" s="254"/>
      <c r="D331" s="283"/>
      <c r="E331" s="284"/>
      <c r="F331" s="299">
        <v>0</v>
      </c>
      <c r="G331" s="300"/>
    </row>
    <row r="332" spans="1:7" ht="18.75" x14ac:dyDescent="0.25">
      <c r="A332" s="252" t="s">
        <v>140</v>
      </c>
      <c r="B332" s="253"/>
      <c r="C332" s="254"/>
      <c r="D332" s="283"/>
      <c r="E332" s="284"/>
      <c r="F332" s="299">
        <v>0</v>
      </c>
      <c r="G332" s="300"/>
    </row>
    <row r="333" spans="1:7" ht="18.75" x14ac:dyDescent="0.25">
      <c r="A333" s="252" t="s">
        <v>141</v>
      </c>
      <c r="B333" s="253"/>
      <c r="C333" s="254"/>
      <c r="D333" s="283"/>
      <c r="E333" s="284"/>
      <c r="F333" s="299">
        <v>0</v>
      </c>
      <c r="G333" s="300"/>
    </row>
    <row r="334" spans="1:7" ht="18.75" x14ac:dyDescent="0.25">
      <c r="A334" s="252" t="s">
        <v>120</v>
      </c>
      <c r="B334" s="253"/>
      <c r="C334" s="254"/>
      <c r="D334" s="283"/>
      <c r="E334" s="284"/>
      <c r="F334" s="338"/>
      <c r="G334" s="340"/>
    </row>
    <row r="335" spans="1:7" ht="18.75" x14ac:dyDescent="0.25">
      <c r="A335" s="8"/>
    </row>
    <row r="336" spans="1:7" ht="18.75" x14ac:dyDescent="0.25">
      <c r="A336" s="274" t="s">
        <v>222</v>
      </c>
      <c r="B336" s="274"/>
      <c r="C336" s="274"/>
      <c r="D336" s="274"/>
      <c r="E336" s="274"/>
      <c r="F336" s="274"/>
      <c r="G336" s="274"/>
    </row>
    <row r="337" spans="1:7" ht="18.75" x14ac:dyDescent="0.25">
      <c r="A337" s="9"/>
    </row>
    <row r="338" spans="1:7" ht="18.75" x14ac:dyDescent="0.3">
      <c r="A338" s="9" t="s">
        <v>145</v>
      </c>
      <c r="B338" s="10">
        <v>244</v>
      </c>
    </row>
    <row r="339" spans="1:7" ht="18.75" x14ac:dyDescent="0.25">
      <c r="A339" s="8"/>
    </row>
    <row r="340" spans="1:7" ht="36" customHeight="1" x14ac:dyDescent="0.25">
      <c r="A340" s="257" t="s">
        <v>86</v>
      </c>
      <c r="B340" s="258"/>
      <c r="C340" s="257" t="s">
        <v>137</v>
      </c>
      <c r="D340" s="258"/>
      <c r="E340" s="257" t="s">
        <v>138</v>
      </c>
      <c r="F340" s="286"/>
      <c r="G340" s="258"/>
    </row>
    <row r="341" spans="1:7" ht="18.75" x14ac:dyDescent="0.3">
      <c r="A341" s="257">
        <v>1</v>
      </c>
      <c r="B341" s="258"/>
      <c r="C341" s="257">
        <v>2</v>
      </c>
      <c r="D341" s="258"/>
      <c r="E341" s="248">
        <v>3</v>
      </c>
      <c r="F341" s="285"/>
      <c r="G341" s="249"/>
    </row>
    <row r="342" spans="1:7" ht="18.75" x14ac:dyDescent="0.25">
      <c r="A342" s="252" t="s">
        <v>25</v>
      </c>
      <c r="B342" s="254"/>
      <c r="C342" s="257"/>
      <c r="D342" s="258"/>
      <c r="E342" s="299">
        <v>0</v>
      </c>
      <c r="F342" s="347"/>
      <c r="G342" s="300"/>
    </row>
    <row r="343" spans="1:7" ht="18.75" x14ac:dyDescent="0.25">
      <c r="A343" s="252" t="s">
        <v>120</v>
      </c>
      <c r="B343" s="254"/>
      <c r="C343" s="257"/>
      <c r="D343" s="258"/>
      <c r="E343" s="338"/>
      <c r="F343" s="339"/>
      <c r="G343" s="340"/>
    </row>
    <row r="344" spans="1:7" x14ac:dyDescent="0.25">
      <c r="A344" s="23"/>
    </row>
    <row r="345" spans="1:7" ht="43.15" customHeight="1" x14ac:dyDescent="0.25">
      <c r="A345" s="282" t="s">
        <v>223</v>
      </c>
      <c r="B345" s="282"/>
      <c r="C345" s="282"/>
      <c r="D345" s="282"/>
      <c r="E345" s="282"/>
      <c r="F345" s="282"/>
      <c r="G345" s="282"/>
    </row>
    <row r="346" spans="1:7" ht="18.75" x14ac:dyDescent="0.25">
      <c r="A346" s="29"/>
    </row>
    <row r="347" spans="1:7" ht="18.75" x14ac:dyDescent="0.3">
      <c r="A347" s="9" t="s">
        <v>145</v>
      </c>
      <c r="B347" s="10">
        <v>244</v>
      </c>
    </row>
    <row r="348" spans="1:7" ht="18.75" x14ac:dyDescent="0.25">
      <c r="A348" s="8"/>
    </row>
    <row r="349" spans="1:7" ht="34.9" customHeight="1" x14ac:dyDescent="0.25">
      <c r="A349" s="58" t="s">
        <v>86</v>
      </c>
      <c r="B349" s="275" t="s">
        <v>142</v>
      </c>
      <c r="C349" s="275"/>
      <c r="D349" s="275" t="s">
        <v>143</v>
      </c>
      <c r="E349" s="275"/>
      <c r="F349" s="275" t="s">
        <v>149</v>
      </c>
      <c r="G349" s="275"/>
    </row>
    <row r="350" spans="1:7" ht="18.75" x14ac:dyDescent="0.25">
      <c r="A350" s="58">
        <v>1</v>
      </c>
      <c r="B350" s="257">
        <v>2</v>
      </c>
      <c r="C350" s="258"/>
      <c r="D350" s="257">
        <v>3</v>
      </c>
      <c r="E350" s="258"/>
      <c r="F350" s="257">
        <v>4</v>
      </c>
      <c r="G350" s="258"/>
    </row>
    <row r="351" spans="1:7" ht="18.75" x14ac:dyDescent="0.25">
      <c r="A351" s="58"/>
      <c r="B351" s="257"/>
      <c r="C351" s="258"/>
      <c r="D351" s="257"/>
      <c r="E351" s="258"/>
      <c r="F351" s="255">
        <f t="shared" ref="F351:F352" si="2">B351*D351</f>
        <v>0</v>
      </c>
      <c r="G351" s="256"/>
    </row>
    <row r="352" spans="1:7" ht="18.75" x14ac:dyDescent="0.25">
      <c r="A352" s="60" t="s">
        <v>248</v>
      </c>
      <c r="B352" s="257"/>
      <c r="C352" s="258"/>
      <c r="D352" s="257"/>
      <c r="E352" s="258"/>
      <c r="F352" s="255">
        <f t="shared" si="2"/>
        <v>0</v>
      </c>
      <c r="G352" s="256"/>
    </row>
    <row r="353" spans="1:7" ht="18.75" x14ac:dyDescent="0.25">
      <c r="A353" s="60"/>
      <c r="B353" s="257"/>
      <c r="C353" s="258"/>
      <c r="D353" s="257"/>
      <c r="E353" s="258"/>
      <c r="F353" s="255">
        <f>B353*D353</f>
        <v>0</v>
      </c>
      <c r="G353" s="256"/>
    </row>
    <row r="354" spans="1:7" ht="18.75" x14ac:dyDescent="0.25">
      <c r="A354" s="13" t="s">
        <v>249</v>
      </c>
      <c r="B354" s="257"/>
      <c r="C354" s="258"/>
      <c r="D354" s="257"/>
      <c r="E354" s="258"/>
      <c r="F354" s="255">
        <f>B354*D354</f>
        <v>0</v>
      </c>
      <c r="G354" s="256"/>
    </row>
    <row r="355" spans="1:7" ht="18.75" x14ac:dyDescent="0.25">
      <c r="A355" s="8"/>
    </row>
    <row r="356" spans="1:7" ht="18.75" x14ac:dyDescent="0.25">
      <c r="A356" s="274" t="s">
        <v>224</v>
      </c>
      <c r="B356" s="274"/>
      <c r="C356" s="274"/>
      <c r="D356" s="274"/>
      <c r="E356" s="274"/>
      <c r="F356" s="274"/>
      <c r="G356" s="274"/>
    </row>
    <row r="357" spans="1:7" ht="18.75" x14ac:dyDescent="0.25">
      <c r="A357" s="9"/>
    </row>
    <row r="358" spans="1:7" ht="18.75" x14ac:dyDescent="0.3">
      <c r="A358" s="9" t="s">
        <v>145</v>
      </c>
      <c r="B358" s="10">
        <v>244</v>
      </c>
    </row>
    <row r="359" spans="1:7" ht="18.75" x14ac:dyDescent="0.25">
      <c r="A359" s="8"/>
    </row>
    <row r="360" spans="1:7" ht="41.45" customHeight="1" x14ac:dyDescent="0.25">
      <c r="A360" s="58" t="s">
        <v>86</v>
      </c>
      <c r="B360" s="275" t="s">
        <v>142</v>
      </c>
      <c r="C360" s="275"/>
      <c r="D360" s="275" t="s">
        <v>143</v>
      </c>
      <c r="E360" s="275"/>
      <c r="F360" s="275" t="s">
        <v>150</v>
      </c>
      <c r="G360" s="275"/>
    </row>
    <row r="361" spans="1:7" ht="18.75" x14ac:dyDescent="0.25">
      <c r="A361" s="58">
        <v>1</v>
      </c>
      <c r="B361" s="257">
        <v>2</v>
      </c>
      <c r="C361" s="258"/>
      <c r="D361" s="257">
        <v>3</v>
      </c>
      <c r="E361" s="258"/>
      <c r="F361" s="257">
        <v>4</v>
      </c>
      <c r="G361" s="258"/>
    </row>
    <row r="362" spans="1:7" ht="56.25" x14ac:dyDescent="0.25">
      <c r="A362" s="13" t="s">
        <v>144</v>
      </c>
      <c r="B362" s="257"/>
      <c r="C362" s="258"/>
      <c r="D362" s="257"/>
      <c r="E362" s="258"/>
      <c r="F362" s="255">
        <f>B362*D362</f>
        <v>0</v>
      </c>
      <c r="G362" s="256"/>
    </row>
    <row r="363" spans="1:7" ht="18.75" x14ac:dyDescent="0.25">
      <c r="A363" s="13" t="s">
        <v>120</v>
      </c>
      <c r="B363" s="257"/>
      <c r="C363" s="258"/>
      <c r="D363" s="257"/>
      <c r="E363" s="258"/>
      <c r="F363" s="255">
        <f>B363*D363</f>
        <v>0</v>
      </c>
      <c r="G363" s="256"/>
    </row>
    <row r="364" spans="1:7" ht="18.75" x14ac:dyDescent="0.25">
      <c r="A364" s="8"/>
    </row>
    <row r="365" spans="1:7" ht="28.15" customHeight="1" x14ac:dyDescent="0.25">
      <c r="A365" s="218" t="s">
        <v>250</v>
      </c>
      <c r="B365" s="218"/>
      <c r="C365" s="218"/>
      <c r="D365" s="218"/>
      <c r="E365" s="218"/>
      <c r="F365" s="218"/>
      <c r="G365" s="218"/>
    </row>
    <row r="366" spans="1:7" ht="18.75" x14ac:dyDescent="0.25">
      <c r="A366" s="9"/>
    </row>
    <row r="367" spans="1:7" ht="18.75" x14ac:dyDescent="0.3">
      <c r="A367" s="9" t="s">
        <v>145</v>
      </c>
      <c r="B367" s="10">
        <v>244</v>
      </c>
    </row>
    <row r="368" spans="1:7" ht="18.75" x14ac:dyDescent="0.25">
      <c r="A368" s="8"/>
    </row>
    <row r="369" spans="1:7" ht="37.9" customHeight="1" x14ac:dyDescent="0.25">
      <c r="A369" s="58" t="s">
        <v>86</v>
      </c>
      <c r="B369" s="275" t="s">
        <v>142</v>
      </c>
      <c r="C369" s="275"/>
      <c r="D369" s="275" t="s">
        <v>143</v>
      </c>
      <c r="E369" s="275"/>
      <c r="F369" s="275" t="s">
        <v>150</v>
      </c>
      <c r="G369" s="275"/>
    </row>
    <row r="370" spans="1:7" ht="18.75" x14ac:dyDescent="0.25">
      <c r="A370" s="58">
        <v>1</v>
      </c>
      <c r="B370" s="257">
        <v>2</v>
      </c>
      <c r="C370" s="258"/>
      <c r="D370" s="257">
        <v>3</v>
      </c>
      <c r="E370" s="258"/>
      <c r="F370" s="257">
        <v>4</v>
      </c>
      <c r="G370" s="258"/>
    </row>
    <row r="371" spans="1:7" ht="18.75" x14ac:dyDescent="0.25">
      <c r="A371" s="13"/>
      <c r="B371" s="257"/>
      <c r="C371" s="258"/>
      <c r="D371" s="257"/>
      <c r="E371" s="258"/>
      <c r="F371" s="255">
        <f>B371*D371</f>
        <v>0</v>
      </c>
      <c r="G371" s="256"/>
    </row>
    <row r="372" spans="1:7" ht="18.75" x14ac:dyDescent="0.25">
      <c r="A372" s="13" t="s">
        <v>120</v>
      </c>
      <c r="B372" s="257"/>
      <c r="C372" s="258"/>
      <c r="D372" s="257"/>
      <c r="E372" s="258"/>
      <c r="F372" s="255"/>
      <c r="G372" s="256"/>
    </row>
    <row r="373" spans="1:7" ht="18.75" x14ac:dyDescent="0.25">
      <c r="A373" s="8"/>
    </row>
    <row r="374" spans="1:7" ht="31.9" customHeight="1" x14ac:dyDescent="0.25">
      <c r="A374" s="282" t="s">
        <v>251</v>
      </c>
      <c r="B374" s="282"/>
      <c r="C374" s="282"/>
      <c r="D374" s="282"/>
      <c r="E374" s="282"/>
      <c r="F374" s="282"/>
      <c r="G374" s="282"/>
    </row>
    <row r="375" spans="1:7" ht="18.75" x14ac:dyDescent="0.25">
      <c r="A375" s="9"/>
    </row>
    <row r="376" spans="1:7" ht="18.75" x14ac:dyDescent="0.3">
      <c r="A376" s="9" t="s">
        <v>145</v>
      </c>
      <c r="B376" s="10">
        <v>244</v>
      </c>
    </row>
    <row r="377" spans="1:7" ht="18.75" x14ac:dyDescent="0.25">
      <c r="A377" s="8"/>
    </row>
    <row r="378" spans="1:7" ht="40.9" customHeight="1" x14ac:dyDescent="0.25">
      <c r="A378" s="58" t="s">
        <v>86</v>
      </c>
      <c r="B378" s="275" t="s">
        <v>142</v>
      </c>
      <c r="C378" s="275"/>
      <c r="D378" s="275" t="s">
        <v>143</v>
      </c>
      <c r="E378" s="275"/>
      <c r="F378" s="275" t="s">
        <v>150</v>
      </c>
      <c r="G378" s="275"/>
    </row>
    <row r="379" spans="1:7" ht="18.75" x14ac:dyDescent="0.25">
      <c r="A379" s="58">
        <v>1</v>
      </c>
      <c r="B379" s="257">
        <v>2</v>
      </c>
      <c r="C379" s="258"/>
      <c r="D379" s="257">
        <v>3</v>
      </c>
      <c r="E379" s="258"/>
      <c r="F379" s="257">
        <v>4</v>
      </c>
      <c r="G379" s="258"/>
    </row>
    <row r="380" spans="1:7" ht="18.75" x14ac:dyDescent="0.25">
      <c r="A380" s="13"/>
      <c r="B380" s="287"/>
      <c r="C380" s="288"/>
      <c r="D380" s="287"/>
      <c r="E380" s="288"/>
      <c r="F380" s="336"/>
      <c r="G380" s="337"/>
    </row>
    <row r="381" spans="1:7" ht="18.75" x14ac:dyDescent="0.25">
      <c r="A381" s="13" t="s">
        <v>237</v>
      </c>
      <c r="B381" s="287"/>
      <c r="C381" s="288"/>
      <c r="D381" s="287"/>
      <c r="E381" s="288"/>
      <c r="F381" s="255">
        <f t="shared" ref="F381:F393" si="3">B381*D381</f>
        <v>0</v>
      </c>
      <c r="G381" s="256"/>
    </row>
    <row r="382" spans="1:7" ht="18.75" x14ac:dyDescent="0.25">
      <c r="A382" s="13"/>
      <c r="B382" s="287"/>
      <c r="C382" s="288"/>
      <c r="D382" s="287"/>
      <c r="E382" s="288"/>
      <c r="F382" s="255"/>
      <c r="G382" s="256"/>
    </row>
    <row r="383" spans="1:7" ht="18.75" x14ac:dyDescent="0.25">
      <c r="A383" s="13" t="s">
        <v>238</v>
      </c>
      <c r="B383" s="287"/>
      <c r="C383" s="288"/>
      <c r="D383" s="287"/>
      <c r="E383" s="288"/>
      <c r="F383" s="255">
        <f t="shared" si="3"/>
        <v>0</v>
      </c>
      <c r="G383" s="256"/>
    </row>
    <row r="384" spans="1:7" ht="18.75" x14ac:dyDescent="0.25">
      <c r="A384" s="13"/>
      <c r="B384" s="287"/>
      <c r="C384" s="288"/>
      <c r="D384" s="287"/>
      <c r="E384" s="288"/>
      <c r="F384" s="255"/>
      <c r="G384" s="256"/>
    </row>
    <row r="385" spans="1:7" ht="18.75" x14ac:dyDescent="0.25">
      <c r="A385" s="13" t="s">
        <v>239</v>
      </c>
      <c r="B385" s="287"/>
      <c r="C385" s="288"/>
      <c r="D385" s="287"/>
      <c r="E385" s="288"/>
      <c r="F385" s="255">
        <f t="shared" si="3"/>
        <v>0</v>
      </c>
      <c r="G385" s="256"/>
    </row>
    <row r="386" spans="1:7" ht="18.75" x14ac:dyDescent="0.25">
      <c r="A386" s="13"/>
      <c r="B386" s="287"/>
      <c r="C386" s="288"/>
      <c r="D386" s="287"/>
      <c r="E386" s="288"/>
      <c r="F386" s="255"/>
      <c r="G386" s="256"/>
    </row>
    <row r="387" spans="1:7" ht="18.75" x14ac:dyDescent="0.25">
      <c r="A387" s="13" t="s">
        <v>240</v>
      </c>
      <c r="B387" s="287"/>
      <c r="C387" s="288"/>
      <c r="D387" s="287"/>
      <c r="E387" s="288"/>
      <c r="F387" s="255">
        <f t="shared" si="3"/>
        <v>0</v>
      </c>
      <c r="G387" s="256"/>
    </row>
    <row r="388" spans="1:7" ht="18.75" x14ac:dyDescent="0.25">
      <c r="A388" s="13"/>
      <c r="B388" s="287"/>
      <c r="C388" s="288"/>
      <c r="D388" s="287"/>
      <c r="E388" s="288"/>
      <c r="F388" s="255"/>
      <c r="G388" s="256"/>
    </row>
    <row r="389" spans="1:7" ht="18.75" x14ac:dyDescent="0.25">
      <c r="A389" s="13" t="s">
        <v>241</v>
      </c>
      <c r="B389" s="287"/>
      <c r="C389" s="288"/>
      <c r="D389" s="287"/>
      <c r="E389" s="288"/>
      <c r="F389" s="255">
        <f t="shared" si="3"/>
        <v>0</v>
      </c>
      <c r="G389" s="256"/>
    </row>
    <row r="390" spans="1:7" ht="18.75" x14ac:dyDescent="0.25">
      <c r="A390" s="13"/>
      <c r="B390" s="287"/>
      <c r="C390" s="288"/>
      <c r="D390" s="287"/>
      <c r="E390" s="288"/>
      <c r="F390" s="255"/>
      <c r="G390" s="256"/>
    </row>
    <row r="391" spans="1:7" ht="18.75" x14ac:dyDescent="0.25">
      <c r="A391" s="13" t="s">
        <v>242</v>
      </c>
      <c r="B391" s="287"/>
      <c r="C391" s="288"/>
      <c r="D391" s="287"/>
      <c r="E391" s="288"/>
      <c r="F391" s="255">
        <f t="shared" si="3"/>
        <v>0</v>
      </c>
      <c r="G391" s="256"/>
    </row>
    <row r="392" spans="1:7" ht="18.75" x14ac:dyDescent="0.25">
      <c r="A392" s="13"/>
      <c r="B392" s="287"/>
      <c r="C392" s="288"/>
      <c r="D392" s="287"/>
      <c r="E392" s="288"/>
      <c r="F392" s="255"/>
      <c r="G392" s="256"/>
    </row>
    <row r="393" spans="1:7" ht="18.75" x14ac:dyDescent="0.25">
      <c r="A393" s="13" t="s">
        <v>243</v>
      </c>
      <c r="B393" s="287"/>
      <c r="C393" s="288"/>
      <c r="D393" s="287"/>
      <c r="E393" s="288"/>
      <c r="F393" s="255">
        <f t="shared" si="3"/>
        <v>0</v>
      </c>
      <c r="G393" s="256"/>
    </row>
    <row r="394" spans="1:7" ht="18.75" x14ac:dyDescent="0.25">
      <c r="A394" s="15"/>
      <c r="B394" s="16"/>
      <c r="C394" s="16"/>
      <c r="D394" s="16"/>
      <c r="E394" s="16"/>
      <c r="F394" s="78"/>
      <c r="G394" s="78"/>
    </row>
    <row r="395" spans="1:7" ht="18.75" x14ac:dyDescent="0.25">
      <c r="A395" s="29"/>
    </row>
    <row r="396" spans="1:7" ht="37.5" x14ac:dyDescent="0.3">
      <c r="A396" s="29" t="s">
        <v>151</v>
      </c>
      <c r="B396" s="10"/>
      <c r="C396" s="224"/>
      <c r="D396" s="224"/>
      <c r="E396" s="10"/>
      <c r="F396" s="224"/>
      <c r="G396" s="224"/>
    </row>
    <row r="397" spans="1:7" ht="18.75" x14ac:dyDescent="0.3">
      <c r="A397" s="29"/>
      <c r="B397" s="10"/>
      <c r="C397" s="223" t="s">
        <v>53</v>
      </c>
      <c r="D397" s="223"/>
      <c r="E397" s="10"/>
      <c r="F397" s="223" t="s">
        <v>54</v>
      </c>
      <c r="G397" s="223"/>
    </row>
    <row r="398" spans="1:7" ht="18.75" x14ac:dyDescent="0.3">
      <c r="A398" s="29"/>
      <c r="B398" s="10"/>
      <c r="C398" s="53"/>
      <c r="D398" s="53"/>
      <c r="E398" s="10"/>
      <c r="F398" s="53"/>
      <c r="G398" s="53"/>
    </row>
    <row r="399" spans="1:7" ht="56.25" x14ac:dyDescent="0.3">
      <c r="A399" s="29" t="s">
        <v>152</v>
      </c>
      <c r="B399" s="10"/>
      <c r="C399" s="224"/>
      <c r="D399" s="224"/>
      <c r="E399" s="10"/>
      <c r="F399" s="224"/>
      <c r="G399" s="224"/>
    </row>
    <row r="400" spans="1:7" ht="18.75" x14ac:dyDescent="0.3">
      <c r="A400" s="29"/>
      <c r="B400" s="10"/>
      <c r="C400" s="223" t="s">
        <v>53</v>
      </c>
      <c r="D400" s="223"/>
      <c r="E400" s="10"/>
      <c r="F400" s="223" t="s">
        <v>54</v>
      </c>
      <c r="G400" s="223"/>
    </row>
    <row r="401" spans="1:7" ht="18.75" x14ac:dyDescent="0.3">
      <c r="A401" s="29"/>
      <c r="B401" s="10"/>
      <c r="C401" s="53"/>
      <c r="D401" s="53"/>
      <c r="E401" s="10"/>
      <c r="F401" s="53"/>
      <c r="G401" s="53"/>
    </row>
    <row r="402" spans="1:7" ht="18.75" x14ac:dyDescent="0.3">
      <c r="A402" s="29" t="s">
        <v>153</v>
      </c>
      <c r="B402" s="10"/>
      <c r="C402" s="224"/>
      <c r="D402" s="224"/>
      <c r="E402" s="10"/>
      <c r="F402" s="224"/>
      <c r="G402" s="224"/>
    </row>
    <row r="403" spans="1:7" ht="18.75" x14ac:dyDescent="0.3">
      <c r="A403" s="29"/>
      <c r="B403" s="10"/>
      <c r="C403" s="223" t="s">
        <v>53</v>
      </c>
      <c r="D403" s="223"/>
      <c r="E403" s="10"/>
      <c r="F403" s="223" t="s">
        <v>54</v>
      </c>
      <c r="G403" s="223"/>
    </row>
    <row r="404" spans="1:7" ht="18.75" x14ac:dyDescent="0.3">
      <c r="A404" s="29" t="s">
        <v>154</v>
      </c>
      <c r="B404" s="10"/>
      <c r="C404" s="10"/>
      <c r="D404" s="10"/>
      <c r="E404" s="10"/>
      <c r="F404" s="10"/>
      <c r="G404" s="10"/>
    </row>
    <row r="405" spans="1:7" ht="18.75" x14ac:dyDescent="0.3">
      <c r="A405" s="222" t="s">
        <v>44</v>
      </c>
      <c r="B405" s="222"/>
      <c r="C405" s="10"/>
      <c r="D405" s="10"/>
      <c r="E405" s="10"/>
      <c r="F405" s="10"/>
      <c r="G405" s="10"/>
    </row>
  </sheetData>
  <mergeCells count="594">
    <mergeCell ref="E1:G1"/>
    <mergeCell ref="A2:G2"/>
    <mergeCell ref="A4:G4"/>
    <mergeCell ref="A5:G5"/>
    <mergeCell ref="B9:C9"/>
    <mergeCell ref="D9:E9"/>
    <mergeCell ref="F9:G9"/>
    <mergeCell ref="A72:G72"/>
    <mergeCell ref="B12:C12"/>
    <mergeCell ref="D12:E12"/>
    <mergeCell ref="F12:G12"/>
    <mergeCell ref="A14:G14"/>
    <mergeCell ref="B18:C18"/>
    <mergeCell ref="D18:E18"/>
    <mergeCell ref="F18:G18"/>
    <mergeCell ref="B24:C24"/>
    <mergeCell ref="D24:E24"/>
    <mergeCell ref="F24:G24"/>
    <mergeCell ref="B10:C10"/>
    <mergeCell ref="D10:E10"/>
    <mergeCell ref="F10:G10"/>
    <mergeCell ref="B11:C11"/>
    <mergeCell ref="D11:E11"/>
    <mergeCell ref="F11:G11"/>
    <mergeCell ref="B83:C83"/>
    <mergeCell ref="D83:E83"/>
    <mergeCell ref="F83:G83"/>
    <mergeCell ref="B84:C84"/>
    <mergeCell ref="D84:E84"/>
    <mergeCell ref="F84:G84"/>
    <mergeCell ref="B19:C19"/>
    <mergeCell ref="D19:E19"/>
    <mergeCell ref="F19:G19"/>
    <mergeCell ref="B20:C20"/>
    <mergeCell ref="D20:E20"/>
    <mergeCell ref="F20:G20"/>
    <mergeCell ref="B26:C26"/>
    <mergeCell ref="D26:E26"/>
    <mergeCell ref="F26:G26"/>
    <mergeCell ref="B30:C30"/>
    <mergeCell ref="D30:E30"/>
    <mergeCell ref="F30:G30"/>
    <mergeCell ref="B25:C25"/>
    <mergeCell ref="D25:E25"/>
    <mergeCell ref="F25:G25"/>
    <mergeCell ref="A34:G34"/>
    <mergeCell ref="A38:C38"/>
    <mergeCell ref="D38:G38"/>
    <mergeCell ref="A39:C39"/>
    <mergeCell ref="D39:G39"/>
    <mergeCell ref="A40:C40"/>
    <mergeCell ref="D40:G40"/>
    <mergeCell ref="B31:C31"/>
    <mergeCell ref="D31:E31"/>
    <mergeCell ref="F31:G31"/>
    <mergeCell ref="B32:C32"/>
    <mergeCell ref="D32:E32"/>
    <mergeCell ref="F32:G32"/>
    <mergeCell ref="B48:C48"/>
    <mergeCell ref="D48:E48"/>
    <mergeCell ref="F48:G48"/>
    <mergeCell ref="A50:G50"/>
    <mergeCell ref="B54:C54"/>
    <mergeCell ref="D54:E54"/>
    <mergeCell ref="F54:G54"/>
    <mergeCell ref="A42:G42"/>
    <mergeCell ref="B46:C46"/>
    <mergeCell ref="D46:E46"/>
    <mergeCell ref="F46:G46"/>
    <mergeCell ref="B47:C47"/>
    <mergeCell ref="D47:E47"/>
    <mergeCell ref="F47:G47"/>
    <mergeCell ref="A58:G58"/>
    <mergeCell ref="B62:C62"/>
    <mergeCell ref="D62:E62"/>
    <mergeCell ref="F62:G62"/>
    <mergeCell ref="B63:C63"/>
    <mergeCell ref="D63:E63"/>
    <mergeCell ref="F63:G63"/>
    <mergeCell ref="B55:C55"/>
    <mergeCell ref="D55:E55"/>
    <mergeCell ref="F55:G55"/>
    <mergeCell ref="B56:C56"/>
    <mergeCell ref="D56:E56"/>
    <mergeCell ref="F56:G56"/>
    <mergeCell ref="B77:C77"/>
    <mergeCell ref="D77:E77"/>
    <mergeCell ref="F77:G77"/>
    <mergeCell ref="B78:C78"/>
    <mergeCell ref="D78:E78"/>
    <mergeCell ref="F78:G78"/>
    <mergeCell ref="B82:C82"/>
    <mergeCell ref="B64:C64"/>
    <mergeCell ref="D64:E64"/>
    <mergeCell ref="F64:G64"/>
    <mergeCell ref="B68:C68"/>
    <mergeCell ref="D68:E68"/>
    <mergeCell ref="F68:G68"/>
    <mergeCell ref="B69:C69"/>
    <mergeCell ref="D69:E69"/>
    <mergeCell ref="F69:G69"/>
    <mergeCell ref="B70:C70"/>
    <mergeCell ref="D70:E70"/>
    <mergeCell ref="F70:G70"/>
    <mergeCell ref="B76:C76"/>
    <mergeCell ref="D76:E76"/>
    <mergeCell ref="F76:G76"/>
    <mergeCell ref="D82:E82"/>
    <mergeCell ref="F82:G82"/>
    <mergeCell ref="A109:G109"/>
    <mergeCell ref="B113:C113"/>
    <mergeCell ref="D113:E113"/>
    <mergeCell ref="F113:G113"/>
    <mergeCell ref="B114:C114"/>
    <mergeCell ref="D114:E114"/>
    <mergeCell ref="F114:G114"/>
    <mergeCell ref="A96:G96"/>
    <mergeCell ref="A98:G98"/>
    <mergeCell ref="A102:A104"/>
    <mergeCell ref="B102:B104"/>
    <mergeCell ref="C102:F102"/>
    <mergeCell ref="G102:G104"/>
    <mergeCell ref="C103:C104"/>
    <mergeCell ref="D103:F103"/>
    <mergeCell ref="C122:D122"/>
    <mergeCell ref="F122:G122"/>
    <mergeCell ref="C123:D123"/>
    <mergeCell ref="F123:G123"/>
    <mergeCell ref="A125:G125"/>
    <mergeCell ref="C129:E129"/>
    <mergeCell ref="F129:G129"/>
    <mergeCell ref="B115:C115"/>
    <mergeCell ref="D115:E115"/>
    <mergeCell ref="F115:G115"/>
    <mergeCell ref="A117:G117"/>
    <mergeCell ref="C121:D121"/>
    <mergeCell ref="F121:G121"/>
    <mergeCell ref="A138:B138"/>
    <mergeCell ref="D138:E138"/>
    <mergeCell ref="F138:G138"/>
    <mergeCell ref="A139:B139"/>
    <mergeCell ref="D139:E139"/>
    <mergeCell ref="F139:G139"/>
    <mergeCell ref="C130:E130"/>
    <mergeCell ref="F130:G130"/>
    <mergeCell ref="C131:E131"/>
    <mergeCell ref="F131:G131"/>
    <mergeCell ref="A133:G133"/>
    <mergeCell ref="A137:B137"/>
    <mergeCell ref="D137:E137"/>
    <mergeCell ref="F137:G137"/>
    <mergeCell ref="A149:G149"/>
    <mergeCell ref="C153:D153"/>
    <mergeCell ref="F153:G153"/>
    <mergeCell ref="C154:D154"/>
    <mergeCell ref="F154:G154"/>
    <mergeCell ref="C155:D155"/>
    <mergeCell ref="F155:G155"/>
    <mergeCell ref="A141:G141"/>
    <mergeCell ref="C145:D145"/>
    <mergeCell ref="F145:G145"/>
    <mergeCell ref="C146:D146"/>
    <mergeCell ref="F146:G146"/>
    <mergeCell ref="C147:D147"/>
    <mergeCell ref="F147:G147"/>
    <mergeCell ref="C162:D162"/>
    <mergeCell ref="F162:G162"/>
    <mergeCell ref="A164:G164"/>
    <mergeCell ref="B168:C168"/>
    <mergeCell ref="D168:E168"/>
    <mergeCell ref="F168:G168"/>
    <mergeCell ref="C159:D159"/>
    <mergeCell ref="F159:G159"/>
    <mergeCell ref="C160:D160"/>
    <mergeCell ref="F160:G160"/>
    <mergeCell ref="C161:D161"/>
    <mergeCell ref="F161:G161"/>
    <mergeCell ref="D174:E174"/>
    <mergeCell ref="F174:G174"/>
    <mergeCell ref="D175:E175"/>
    <mergeCell ref="F175:G175"/>
    <mergeCell ref="D176:E176"/>
    <mergeCell ref="F176:G176"/>
    <mergeCell ref="B169:C169"/>
    <mergeCell ref="D169:E169"/>
    <mergeCell ref="F169:G169"/>
    <mergeCell ref="B170:C170"/>
    <mergeCell ref="D170:E170"/>
    <mergeCell ref="F170:G170"/>
    <mergeCell ref="B184:C184"/>
    <mergeCell ref="D184:E184"/>
    <mergeCell ref="F184:G184"/>
    <mergeCell ref="B185:C185"/>
    <mergeCell ref="D185:E185"/>
    <mergeCell ref="F185:G185"/>
    <mergeCell ref="A178:G178"/>
    <mergeCell ref="B182:C182"/>
    <mergeCell ref="D182:E182"/>
    <mergeCell ref="F182:G182"/>
    <mergeCell ref="B183:C183"/>
    <mergeCell ref="D183:E183"/>
    <mergeCell ref="F183:G183"/>
    <mergeCell ref="B192:C192"/>
    <mergeCell ref="D192:E192"/>
    <mergeCell ref="F192:G192"/>
    <mergeCell ref="B193:C193"/>
    <mergeCell ref="D193:E193"/>
    <mergeCell ref="F193:G193"/>
    <mergeCell ref="A187:G187"/>
    <mergeCell ref="B190:C190"/>
    <mergeCell ref="D190:E190"/>
    <mergeCell ref="F190:G190"/>
    <mergeCell ref="B191:C191"/>
    <mergeCell ref="D191:E191"/>
    <mergeCell ref="F191:G191"/>
    <mergeCell ref="B199:C199"/>
    <mergeCell ref="D199:E199"/>
    <mergeCell ref="F199:G199"/>
    <mergeCell ref="B200:C200"/>
    <mergeCell ref="D200:E200"/>
    <mergeCell ref="F200:G200"/>
    <mergeCell ref="B197:C197"/>
    <mergeCell ref="D197:E197"/>
    <mergeCell ref="F197:G197"/>
    <mergeCell ref="B198:C198"/>
    <mergeCell ref="D198:E198"/>
    <mergeCell ref="F198:G198"/>
    <mergeCell ref="B206:C206"/>
    <mergeCell ref="D206:E206"/>
    <mergeCell ref="F206:G206"/>
    <mergeCell ref="B207:C207"/>
    <mergeCell ref="D207:E207"/>
    <mergeCell ref="F207:G207"/>
    <mergeCell ref="B204:C204"/>
    <mergeCell ref="D204:E204"/>
    <mergeCell ref="F204:G204"/>
    <mergeCell ref="B205:C205"/>
    <mergeCell ref="D205:E205"/>
    <mergeCell ref="F205:G205"/>
    <mergeCell ref="B215:C215"/>
    <mergeCell ref="D215:E215"/>
    <mergeCell ref="F215:G215"/>
    <mergeCell ref="B216:C216"/>
    <mergeCell ref="D216:E216"/>
    <mergeCell ref="F216:G216"/>
    <mergeCell ref="A209:G209"/>
    <mergeCell ref="B213:C213"/>
    <mergeCell ref="D213:E213"/>
    <mergeCell ref="F213:G213"/>
    <mergeCell ref="B214:C214"/>
    <mergeCell ref="D214:E214"/>
    <mergeCell ref="F214:G214"/>
    <mergeCell ref="B222:C222"/>
    <mergeCell ref="D222:E222"/>
    <mergeCell ref="F222:G222"/>
    <mergeCell ref="B223:C223"/>
    <mergeCell ref="D223:E223"/>
    <mergeCell ref="F223:G223"/>
    <mergeCell ref="B220:C220"/>
    <mergeCell ref="D220:E220"/>
    <mergeCell ref="F220:G220"/>
    <mergeCell ref="B221:C221"/>
    <mergeCell ref="D221:E221"/>
    <mergeCell ref="F221:G221"/>
    <mergeCell ref="B229:C229"/>
    <mergeCell ref="D229:E229"/>
    <mergeCell ref="F229:G229"/>
    <mergeCell ref="B230:C230"/>
    <mergeCell ref="D230:E230"/>
    <mergeCell ref="F230:G230"/>
    <mergeCell ref="B227:C227"/>
    <mergeCell ref="D227:E227"/>
    <mergeCell ref="F227:G227"/>
    <mergeCell ref="B228:C228"/>
    <mergeCell ref="D228:E228"/>
    <mergeCell ref="F228:G228"/>
    <mergeCell ref="A249:G249"/>
    <mergeCell ref="A250:G250"/>
    <mergeCell ref="B254:C254"/>
    <mergeCell ref="D254:E254"/>
    <mergeCell ref="F254:G254"/>
    <mergeCell ref="A232:G232"/>
    <mergeCell ref="B235:C235"/>
    <mergeCell ref="D235:E235"/>
    <mergeCell ref="F235:G235"/>
    <mergeCell ref="B236:C236"/>
    <mergeCell ref="D236:E236"/>
    <mergeCell ref="F236:G236"/>
    <mergeCell ref="B240:C240"/>
    <mergeCell ref="D240:E240"/>
    <mergeCell ref="F240:G240"/>
    <mergeCell ref="B241:C241"/>
    <mergeCell ref="D241:E241"/>
    <mergeCell ref="F241:G241"/>
    <mergeCell ref="D245:E245"/>
    <mergeCell ref="F245:G245"/>
    <mergeCell ref="B242:C242"/>
    <mergeCell ref="D242:E242"/>
    <mergeCell ref="F242:G242"/>
    <mergeCell ref="B243:C243"/>
    <mergeCell ref="B257:C257"/>
    <mergeCell ref="D257:E257"/>
    <mergeCell ref="F257:G257"/>
    <mergeCell ref="A259:G259"/>
    <mergeCell ref="B263:C263"/>
    <mergeCell ref="D263:E263"/>
    <mergeCell ref="F263:G263"/>
    <mergeCell ref="B255:C255"/>
    <mergeCell ref="D255:E255"/>
    <mergeCell ref="F255:G255"/>
    <mergeCell ref="B256:C256"/>
    <mergeCell ref="D256:E256"/>
    <mergeCell ref="F256:G256"/>
    <mergeCell ref="B266:C266"/>
    <mergeCell ref="D266:E266"/>
    <mergeCell ref="F266:G266"/>
    <mergeCell ref="B267:C267"/>
    <mergeCell ref="D267:E267"/>
    <mergeCell ref="F267:G267"/>
    <mergeCell ref="B264:C264"/>
    <mergeCell ref="D264:E264"/>
    <mergeCell ref="F264:G264"/>
    <mergeCell ref="B265:C265"/>
    <mergeCell ref="D265:E265"/>
    <mergeCell ref="F265:G265"/>
    <mergeCell ref="B275:C275"/>
    <mergeCell ref="D275:E275"/>
    <mergeCell ref="F275:G275"/>
    <mergeCell ref="B276:C276"/>
    <mergeCell ref="D276:E276"/>
    <mergeCell ref="F276:G276"/>
    <mergeCell ref="A269:G269"/>
    <mergeCell ref="B273:C273"/>
    <mergeCell ref="D273:E273"/>
    <mergeCell ref="F273:G273"/>
    <mergeCell ref="B274:C274"/>
    <mergeCell ref="D274:E274"/>
    <mergeCell ref="F274:G274"/>
    <mergeCell ref="B284:C284"/>
    <mergeCell ref="D284:E284"/>
    <mergeCell ref="F284:G284"/>
    <mergeCell ref="B285:C285"/>
    <mergeCell ref="D285:E285"/>
    <mergeCell ref="F285:G285"/>
    <mergeCell ref="A278:G278"/>
    <mergeCell ref="B282:C282"/>
    <mergeCell ref="D282:E282"/>
    <mergeCell ref="F282:G282"/>
    <mergeCell ref="B283:C283"/>
    <mergeCell ref="D283:E283"/>
    <mergeCell ref="F283:G283"/>
    <mergeCell ref="B288:C288"/>
    <mergeCell ref="D288:E288"/>
    <mergeCell ref="F288:G288"/>
    <mergeCell ref="A290:G290"/>
    <mergeCell ref="B294:C294"/>
    <mergeCell ref="D294:E294"/>
    <mergeCell ref="F294:G294"/>
    <mergeCell ref="B286:C286"/>
    <mergeCell ref="D286:E286"/>
    <mergeCell ref="F286:G286"/>
    <mergeCell ref="B287:C287"/>
    <mergeCell ref="D287:E287"/>
    <mergeCell ref="F287:G287"/>
    <mergeCell ref="B297:C297"/>
    <mergeCell ref="D297:E297"/>
    <mergeCell ref="F297:G297"/>
    <mergeCell ref="A299:G299"/>
    <mergeCell ref="A303:C303"/>
    <mergeCell ref="D303:E303"/>
    <mergeCell ref="F303:G303"/>
    <mergeCell ref="B295:C295"/>
    <mergeCell ref="D295:E295"/>
    <mergeCell ref="F295:G295"/>
    <mergeCell ref="B296:C296"/>
    <mergeCell ref="D296:E296"/>
    <mergeCell ref="F296:G296"/>
    <mergeCell ref="A306:C306"/>
    <mergeCell ref="D306:E306"/>
    <mergeCell ref="F306:G306"/>
    <mergeCell ref="A310:C310"/>
    <mergeCell ref="D310:E310"/>
    <mergeCell ref="F310:G310"/>
    <mergeCell ref="A304:C304"/>
    <mergeCell ref="D304:E304"/>
    <mergeCell ref="F304:G304"/>
    <mergeCell ref="A305:C305"/>
    <mergeCell ref="D305:E305"/>
    <mergeCell ref="F305:G305"/>
    <mergeCell ref="A313:C313"/>
    <mergeCell ref="D313:E313"/>
    <mergeCell ref="F313:G313"/>
    <mergeCell ref="A314:C314"/>
    <mergeCell ref="D314:E314"/>
    <mergeCell ref="F314:G314"/>
    <mergeCell ref="A311:C311"/>
    <mergeCell ref="D311:E311"/>
    <mergeCell ref="F311:G311"/>
    <mergeCell ref="A312:C312"/>
    <mergeCell ref="D312:E312"/>
    <mergeCell ref="F312:G312"/>
    <mergeCell ref="A318:G318"/>
    <mergeCell ref="A322:C322"/>
    <mergeCell ref="D322:E322"/>
    <mergeCell ref="F322:G322"/>
    <mergeCell ref="A323:C323"/>
    <mergeCell ref="D323:E323"/>
    <mergeCell ref="F323:G323"/>
    <mergeCell ref="A315:C315"/>
    <mergeCell ref="D315:E315"/>
    <mergeCell ref="F315:G315"/>
    <mergeCell ref="A316:C316"/>
    <mergeCell ref="D316:E316"/>
    <mergeCell ref="F316:G316"/>
    <mergeCell ref="F329:G329"/>
    <mergeCell ref="A330:C330"/>
    <mergeCell ref="D330:E330"/>
    <mergeCell ref="F330:G330"/>
    <mergeCell ref="A324:C324"/>
    <mergeCell ref="D324:E324"/>
    <mergeCell ref="F324:G324"/>
    <mergeCell ref="A325:C325"/>
    <mergeCell ref="D325:E325"/>
    <mergeCell ref="F325:G325"/>
    <mergeCell ref="B360:C360"/>
    <mergeCell ref="D360:E360"/>
    <mergeCell ref="F360:G360"/>
    <mergeCell ref="B361:C361"/>
    <mergeCell ref="D361:E361"/>
    <mergeCell ref="F361:G361"/>
    <mergeCell ref="B353:C353"/>
    <mergeCell ref="D353:E353"/>
    <mergeCell ref="F353:G353"/>
    <mergeCell ref="B354:C354"/>
    <mergeCell ref="D354:E354"/>
    <mergeCell ref="F354:G354"/>
    <mergeCell ref="A374:G374"/>
    <mergeCell ref="B378:C378"/>
    <mergeCell ref="D378:E378"/>
    <mergeCell ref="F378:G378"/>
    <mergeCell ref="B379:C379"/>
    <mergeCell ref="D379:E379"/>
    <mergeCell ref="F379:G379"/>
    <mergeCell ref="B362:C362"/>
    <mergeCell ref="D362:E362"/>
    <mergeCell ref="F362:G362"/>
    <mergeCell ref="B363:C363"/>
    <mergeCell ref="D363:E363"/>
    <mergeCell ref="F363:G363"/>
    <mergeCell ref="B371:C371"/>
    <mergeCell ref="D371:E371"/>
    <mergeCell ref="F371:G371"/>
    <mergeCell ref="B372:C372"/>
    <mergeCell ref="D372:E372"/>
    <mergeCell ref="F372:G372"/>
    <mergeCell ref="B369:C369"/>
    <mergeCell ref="D369:E369"/>
    <mergeCell ref="F369:G369"/>
    <mergeCell ref="B370:C370"/>
    <mergeCell ref="D370:E370"/>
    <mergeCell ref="B382:C382"/>
    <mergeCell ref="D382:E382"/>
    <mergeCell ref="F382:G382"/>
    <mergeCell ref="B383:C383"/>
    <mergeCell ref="D383:E383"/>
    <mergeCell ref="F383:G383"/>
    <mergeCell ref="B380:C380"/>
    <mergeCell ref="D380:E380"/>
    <mergeCell ref="F380:G380"/>
    <mergeCell ref="B381:C381"/>
    <mergeCell ref="D381:E381"/>
    <mergeCell ref="F381:G381"/>
    <mergeCell ref="B386:C386"/>
    <mergeCell ref="D386:E386"/>
    <mergeCell ref="F386:G386"/>
    <mergeCell ref="B387:C387"/>
    <mergeCell ref="D387:E387"/>
    <mergeCell ref="F387:G387"/>
    <mergeCell ref="B384:C384"/>
    <mergeCell ref="D384:E384"/>
    <mergeCell ref="F384:G384"/>
    <mergeCell ref="B385:C385"/>
    <mergeCell ref="D385:E385"/>
    <mergeCell ref="F385:G385"/>
    <mergeCell ref="B390:C390"/>
    <mergeCell ref="D390:E390"/>
    <mergeCell ref="F390:G390"/>
    <mergeCell ref="B391:C391"/>
    <mergeCell ref="D391:E391"/>
    <mergeCell ref="F391:G391"/>
    <mergeCell ref="B388:C388"/>
    <mergeCell ref="D388:E388"/>
    <mergeCell ref="F388:G388"/>
    <mergeCell ref="B389:C389"/>
    <mergeCell ref="D389:E389"/>
    <mergeCell ref="F389:G389"/>
    <mergeCell ref="C397:D397"/>
    <mergeCell ref="F397:G397"/>
    <mergeCell ref="C399:D399"/>
    <mergeCell ref="F399:G399"/>
    <mergeCell ref="B392:C392"/>
    <mergeCell ref="D392:E392"/>
    <mergeCell ref="F392:G392"/>
    <mergeCell ref="B393:C393"/>
    <mergeCell ref="D393:E393"/>
    <mergeCell ref="F393:G393"/>
    <mergeCell ref="A405:B405"/>
    <mergeCell ref="B237:C237"/>
    <mergeCell ref="D237:E237"/>
    <mergeCell ref="F237:G237"/>
    <mergeCell ref="B238:C238"/>
    <mergeCell ref="D238:E238"/>
    <mergeCell ref="F238:G238"/>
    <mergeCell ref="B239:C239"/>
    <mergeCell ref="D239:E239"/>
    <mergeCell ref="F239:G239"/>
    <mergeCell ref="C400:D400"/>
    <mergeCell ref="F400:G400"/>
    <mergeCell ref="C402:D402"/>
    <mergeCell ref="F402:G402"/>
    <mergeCell ref="C403:D403"/>
    <mergeCell ref="F403:G403"/>
    <mergeCell ref="C396:D396"/>
    <mergeCell ref="F396:G396"/>
    <mergeCell ref="A343:B343"/>
    <mergeCell ref="C343:D343"/>
    <mergeCell ref="B244:C244"/>
    <mergeCell ref="D244:E244"/>
    <mergeCell ref="F244:G244"/>
    <mergeCell ref="B245:C245"/>
    <mergeCell ref="D243:E243"/>
    <mergeCell ref="F243:G243"/>
    <mergeCell ref="E343:G343"/>
    <mergeCell ref="A336:G336"/>
    <mergeCell ref="A340:B340"/>
    <mergeCell ref="C340:D340"/>
    <mergeCell ref="E340:G340"/>
    <mergeCell ref="A341:B341"/>
    <mergeCell ref="C341:D341"/>
    <mergeCell ref="E341:G341"/>
    <mergeCell ref="A333:C333"/>
    <mergeCell ref="D333:E333"/>
    <mergeCell ref="F333:G333"/>
    <mergeCell ref="A334:C334"/>
    <mergeCell ref="D334:E334"/>
    <mergeCell ref="F334:G334"/>
    <mergeCell ref="A331:C331"/>
    <mergeCell ref="D331:E331"/>
    <mergeCell ref="F331:G331"/>
    <mergeCell ref="A332:C332"/>
    <mergeCell ref="D332:E332"/>
    <mergeCell ref="F332:G332"/>
    <mergeCell ref="A329:C329"/>
    <mergeCell ref="D329:E329"/>
    <mergeCell ref="F370:G370"/>
    <mergeCell ref="F351:G351"/>
    <mergeCell ref="F352:G352"/>
    <mergeCell ref="B351:C351"/>
    <mergeCell ref="D351:E351"/>
    <mergeCell ref="B352:C352"/>
    <mergeCell ref="D352:E352"/>
    <mergeCell ref="B246:C246"/>
    <mergeCell ref="D246:E246"/>
    <mergeCell ref="F246:G246"/>
    <mergeCell ref="B247:C247"/>
    <mergeCell ref="D247:E247"/>
    <mergeCell ref="F247:G247"/>
    <mergeCell ref="A345:G345"/>
    <mergeCell ref="B349:C349"/>
    <mergeCell ref="D349:E349"/>
    <mergeCell ref="F349:G349"/>
    <mergeCell ref="B350:C350"/>
    <mergeCell ref="D350:E350"/>
    <mergeCell ref="F350:G350"/>
    <mergeCell ref="A342:B342"/>
    <mergeCell ref="C342:D342"/>
    <mergeCell ref="E342:G342"/>
    <mergeCell ref="A356:G356"/>
    <mergeCell ref="B93:C93"/>
    <mergeCell ref="D93:E93"/>
    <mergeCell ref="F93:G93"/>
    <mergeCell ref="B94:C94"/>
    <mergeCell ref="D94:E94"/>
    <mergeCell ref="F94:G94"/>
    <mergeCell ref="A86:G86"/>
    <mergeCell ref="B90:C90"/>
    <mergeCell ref="D90:E90"/>
    <mergeCell ref="F90:G90"/>
    <mergeCell ref="B91:C91"/>
    <mergeCell ref="D91:E91"/>
    <mergeCell ref="F91:G91"/>
    <mergeCell ref="B92:C92"/>
    <mergeCell ref="D92:E92"/>
    <mergeCell ref="F92:G92"/>
  </mergeCells>
  <pageMargins left="1.3779527559055118" right="0.39370078740157483" top="0.98425196850393704" bottom="0.78740157480314965" header="0.31496062992125984" footer="0.31496062992125984"/>
  <pageSetup paperSize="9" scale="60" orientation="portrait" r:id="rId1"/>
  <rowBreaks count="10" manualBreakCount="10">
    <brk id="40" max="6" man="1"/>
    <brk id="79" max="16383" man="1"/>
    <brk id="116" max="16383" man="1"/>
    <brk id="148" max="16383" man="1"/>
    <brk id="176" max="16383" man="1"/>
    <brk id="208" max="16383" man="1"/>
    <brk id="257" max="16383" man="1"/>
    <brk id="297" max="16383" man="1"/>
    <brk id="343" max="16383" man="1"/>
    <brk id="39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348"/>
  <sheetViews>
    <sheetView view="pageBreakPreview" topLeftCell="A145" zoomScale="85" zoomScaleNormal="85" zoomScaleSheetLayoutView="85" workbookViewId="0">
      <selection activeCell="A159" sqref="A159:G159"/>
    </sheetView>
  </sheetViews>
  <sheetFormatPr defaultColWidth="8.85546875" defaultRowHeight="15" x14ac:dyDescent="0.25"/>
  <cols>
    <col min="1" max="1" width="38.42578125" style="7" customWidth="1"/>
    <col min="2" max="2" width="17.28515625" style="7" customWidth="1"/>
    <col min="3" max="6" width="16.42578125" style="7" customWidth="1"/>
    <col min="7" max="7" width="16.28515625" style="7" customWidth="1"/>
    <col min="8" max="8" width="17" style="7" customWidth="1"/>
    <col min="9" max="9" width="12.42578125" style="7" customWidth="1"/>
    <col min="10" max="10" width="13" style="7" customWidth="1"/>
    <col min="11" max="11" width="14.5703125" style="7" customWidth="1"/>
    <col min="12" max="16384" width="8.85546875" style="7"/>
  </cols>
  <sheetData>
    <row r="1" spans="1:7" ht="40.15" customHeight="1" x14ac:dyDescent="0.25">
      <c r="A1" s="289" t="s">
        <v>341</v>
      </c>
      <c r="B1" s="289"/>
      <c r="C1" s="289"/>
      <c r="D1" s="289"/>
      <c r="E1" s="289"/>
      <c r="F1" s="289"/>
      <c r="G1" s="289"/>
    </row>
    <row r="2" spans="1:7" ht="18.75" x14ac:dyDescent="0.25">
      <c r="A2" s="108"/>
      <c r="B2" s="108"/>
      <c r="C2" s="108"/>
      <c r="D2" s="108"/>
      <c r="E2" s="108"/>
      <c r="F2" s="108"/>
      <c r="G2" s="108"/>
    </row>
    <row r="3" spans="1:7" ht="35.450000000000003" customHeight="1" x14ac:dyDescent="0.25">
      <c r="A3" s="289" t="s">
        <v>342</v>
      </c>
      <c r="B3" s="289"/>
      <c r="C3" s="289"/>
      <c r="D3" s="289"/>
      <c r="E3" s="289"/>
      <c r="F3" s="289"/>
      <c r="G3" s="289"/>
    </row>
    <row r="4" spans="1:7" ht="18.75" customHeight="1" x14ac:dyDescent="0.25">
      <c r="A4" s="105"/>
    </row>
    <row r="5" spans="1:7" ht="43.9" customHeight="1" x14ac:dyDescent="0.25">
      <c r="A5" s="289" t="s">
        <v>174</v>
      </c>
      <c r="B5" s="289"/>
      <c r="C5" s="289"/>
      <c r="D5" s="289"/>
      <c r="E5" s="289"/>
      <c r="F5" s="289"/>
      <c r="G5" s="289"/>
    </row>
    <row r="6" spans="1:7" ht="18.75" x14ac:dyDescent="0.25">
      <c r="A6" s="108"/>
      <c r="B6" s="108"/>
      <c r="C6" s="108"/>
      <c r="D6" s="108"/>
      <c r="E6" s="108"/>
      <c r="F6" s="108"/>
      <c r="G6" s="108"/>
    </row>
    <row r="7" spans="1:7" ht="18.75" x14ac:dyDescent="0.3">
      <c r="A7" s="9" t="s">
        <v>255</v>
      </c>
      <c r="B7" s="10">
        <v>130</v>
      </c>
    </row>
    <row r="8" spans="1:7" x14ac:dyDescent="0.25">
      <c r="A8" s="11"/>
    </row>
    <row r="9" spans="1:7" ht="55.9" customHeight="1" x14ac:dyDescent="0.25">
      <c r="A9" s="106" t="s">
        <v>86</v>
      </c>
      <c r="B9" s="275" t="s">
        <v>172</v>
      </c>
      <c r="C9" s="275"/>
      <c r="D9" s="275" t="s">
        <v>173</v>
      </c>
      <c r="E9" s="275"/>
      <c r="F9" s="275" t="s">
        <v>171</v>
      </c>
      <c r="G9" s="275"/>
    </row>
    <row r="10" spans="1:7" ht="18.75" x14ac:dyDescent="0.25">
      <c r="A10" s="106">
        <v>1</v>
      </c>
      <c r="B10" s="275">
        <v>2</v>
      </c>
      <c r="C10" s="275"/>
      <c r="D10" s="275">
        <v>3</v>
      </c>
      <c r="E10" s="275"/>
      <c r="F10" s="275">
        <v>4</v>
      </c>
      <c r="G10" s="275"/>
    </row>
    <row r="11" spans="1:7" ht="56.25" x14ac:dyDescent="0.25">
      <c r="A11" s="13" t="s">
        <v>69</v>
      </c>
      <c r="B11" s="275" t="s">
        <v>117</v>
      </c>
      <c r="C11" s="275"/>
      <c r="D11" s="275" t="s">
        <v>117</v>
      </c>
      <c r="E11" s="275"/>
      <c r="F11" s="281">
        <f>'гос.зад на 2022 год '!D12</f>
        <v>126472563.90000001</v>
      </c>
      <c r="G11" s="281"/>
    </row>
    <row r="12" spans="1:7" ht="18.75" x14ac:dyDescent="0.25">
      <c r="A12" s="15"/>
      <c r="B12" s="19"/>
      <c r="C12" s="19"/>
      <c r="D12" s="19"/>
      <c r="E12" s="19"/>
      <c r="F12" s="82"/>
      <c r="G12" s="82"/>
    </row>
    <row r="13" spans="1:7" ht="48.6" customHeight="1" x14ac:dyDescent="0.25">
      <c r="A13" s="289" t="s">
        <v>343</v>
      </c>
      <c r="B13" s="289"/>
      <c r="C13" s="289"/>
      <c r="D13" s="289"/>
      <c r="E13" s="289"/>
      <c r="F13" s="289"/>
      <c r="G13" s="289"/>
    </row>
    <row r="14" spans="1:7" ht="18.75" x14ac:dyDescent="0.25">
      <c r="A14" s="8"/>
    </row>
    <row r="15" spans="1:7" ht="18.75" x14ac:dyDescent="0.25">
      <c r="A15" s="274" t="s">
        <v>189</v>
      </c>
      <c r="B15" s="274"/>
      <c r="C15" s="274"/>
      <c r="D15" s="274"/>
      <c r="E15" s="274"/>
      <c r="F15" s="274"/>
      <c r="G15" s="274"/>
    </row>
    <row r="16" spans="1:7" ht="18.75" x14ac:dyDescent="0.25">
      <c r="A16" s="9"/>
    </row>
    <row r="17" spans="1:7" ht="18.75" x14ac:dyDescent="0.3">
      <c r="A17" s="9" t="s">
        <v>145</v>
      </c>
      <c r="B17" s="10">
        <v>111</v>
      </c>
    </row>
    <row r="18" spans="1:7" x14ac:dyDescent="0.25">
      <c r="A18" s="11"/>
    </row>
    <row r="19" spans="1:7" ht="54" customHeight="1" x14ac:dyDescent="0.25">
      <c r="A19" s="275" t="s">
        <v>76</v>
      </c>
      <c r="B19" s="275" t="s">
        <v>77</v>
      </c>
      <c r="C19" s="275" t="s">
        <v>78</v>
      </c>
      <c r="D19" s="275"/>
      <c r="E19" s="275"/>
      <c r="F19" s="275"/>
      <c r="G19" s="275" t="s">
        <v>79</v>
      </c>
    </row>
    <row r="20" spans="1:7" ht="18.75" x14ac:dyDescent="0.25">
      <c r="A20" s="275"/>
      <c r="B20" s="275"/>
      <c r="C20" s="275" t="s">
        <v>80</v>
      </c>
      <c r="D20" s="275" t="s">
        <v>6</v>
      </c>
      <c r="E20" s="275"/>
      <c r="F20" s="275"/>
      <c r="G20" s="275"/>
    </row>
    <row r="21" spans="1:7" ht="75" x14ac:dyDescent="0.25">
      <c r="A21" s="275"/>
      <c r="B21" s="275"/>
      <c r="C21" s="275"/>
      <c r="D21" s="12" t="s">
        <v>81</v>
      </c>
      <c r="E21" s="12" t="s">
        <v>82</v>
      </c>
      <c r="F21" s="12" t="s">
        <v>83</v>
      </c>
      <c r="G21" s="275"/>
    </row>
    <row r="22" spans="1:7" ht="18.75" x14ac:dyDescent="0.25">
      <c r="A22" s="177">
        <v>1</v>
      </c>
      <c r="B22" s="177">
        <v>2</v>
      </c>
      <c r="C22" s="177">
        <v>3</v>
      </c>
      <c r="D22" s="177">
        <v>4</v>
      </c>
      <c r="E22" s="177">
        <v>4</v>
      </c>
      <c r="F22" s="177">
        <v>5</v>
      </c>
      <c r="G22" s="177">
        <v>7</v>
      </c>
    </row>
    <row r="23" spans="1:7" ht="15.75" x14ac:dyDescent="0.25">
      <c r="A23" s="128" t="s">
        <v>306</v>
      </c>
      <c r="B23" s="129">
        <v>1</v>
      </c>
      <c r="C23" s="130">
        <f t="shared" ref="C23:C30" si="0">D23+E23+F23</f>
        <v>60691.199999999997</v>
      </c>
      <c r="D23" s="130">
        <v>20928</v>
      </c>
      <c r="E23" s="131"/>
      <c r="F23" s="132">
        <f>D23*190%</f>
        <v>39763.199999999997</v>
      </c>
      <c r="G23" s="133">
        <f t="shared" ref="G23:G30" si="1">C23*B23*12</f>
        <v>728294.39999999991</v>
      </c>
    </row>
    <row r="24" spans="1:7" ht="31.5" x14ac:dyDescent="0.25">
      <c r="A24" s="134" t="s">
        <v>307</v>
      </c>
      <c r="B24" s="135">
        <v>1</v>
      </c>
      <c r="C24" s="130">
        <f t="shared" si="0"/>
        <v>50854.5</v>
      </c>
      <c r="D24" s="136">
        <v>18835</v>
      </c>
      <c r="E24" s="131"/>
      <c r="F24" s="132">
        <f>D24*170%</f>
        <v>32019.5</v>
      </c>
      <c r="G24" s="133">
        <f t="shared" si="1"/>
        <v>610254</v>
      </c>
    </row>
    <row r="25" spans="1:7" ht="63" x14ac:dyDescent="0.25">
      <c r="A25" s="137" t="s">
        <v>308</v>
      </c>
      <c r="B25" s="135">
        <v>1</v>
      </c>
      <c r="C25" s="130">
        <f t="shared" si="0"/>
        <v>50854.5</v>
      </c>
      <c r="D25" s="136">
        <v>18835</v>
      </c>
      <c r="E25" s="131"/>
      <c r="F25" s="132">
        <f>D25*170%</f>
        <v>32019.5</v>
      </c>
      <c r="G25" s="133">
        <f t="shared" si="1"/>
        <v>610254</v>
      </c>
    </row>
    <row r="26" spans="1:7" ht="63" x14ac:dyDescent="0.25">
      <c r="A26" s="134" t="s">
        <v>439</v>
      </c>
      <c r="B26" s="135">
        <v>1</v>
      </c>
      <c r="C26" s="130">
        <f t="shared" si="0"/>
        <v>54621.5</v>
      </c>
      <c r="D26" s="136">
        <v>18835</v>
      </c>
      <c r="E26" s="131"/>
      <c r="F26" s="132">
        <f>D26*190%</f>
        <v>35786.5</v>
      </c>
      <c r="G26" s="133">
        <f t="shared" si="1"/>
        <v>655458</v>
      </c>
    </row>
    <row r="27" spans="1:7" ht="15.75" x14ac:dyDescent="0.25">
      <c r="A27" s="134" t="s">
        <v>338</v>
      </c>
      <c r="B27" s="135">
        <v>1</v>
      </c>
      <c r="C27" s="130">
        <f t="shared" si="0"/>
        <v>44290.8</v>
      </c>
      <c r="D27" s="136">
        <v>16404</v>
      </c>
      <c r="E27" s="131"/>
      <c r="F27" s="132">
        <f>D27*170%</f>
        <v>27886.799999999999</v>
      </c>
      <c r="G27" s="133">
        <f t="shared" si="1"/>
        <v>531489.60000000009</v>
      </c>
    </row>
    <row r="28" spans="1:7" ht="15.75" x14ac:dyDescent="0.25">
      <c r="A28" s="134" t="s">
        <v>309</v>
      </c>
      <c r="B28" s="135">
        <v>1</v>
      </c>
      <c r="C28" s="130">
        <f t="shared" si="0"/>
        <v>52738</v>
      </c>
      <c r="D28" s="136">
        <v>18835</v>
      </c>
      <c r="E28" s="131"/>
      <c r="F28" s="132">
        <f>D28*180%</f>
        <v>33903</v>
      </c>
      <c r="G28" s="133">
        <f t="shared" si="1"/>
        <v>632856</v>
      </c>
    </row>
    <row r="29" spans="1:7" ht="15.75" x14ac:dyDescent="0.25">
      <c r="A29" s="134" t="s">
        <v>339</v>
      </c>
      <c r="B29" s="135">
        <v>1</v>
      </c>
      <c r="C29" s="130">
        <f t="shared" si="0"/>
        <v>35640</v>
      </c>
      <c r="D29" s="136">
        <v>13200</v>
      </c>
      <c r="E29" s="131"/>
      <c r="F29" s="132">
        <f>D29*170%</f>
        <v>22440</v>
      </c>
      <c r="G29" s="133">
        <f t="shared" si="1"/>
        <v>427680</v>
      </c>
    </row>
    <row r="30" spans="1:7" ht="15.75" x14ac:dyDescent="0.25">
      <c r="A30" s="145" t="s">
        <v>335</v>
      </c>
      <c r="B30" s="135">
        <v>1</v>
      </c>
      <c r="C30" s="136">
        <f t="shared" si="0"/>
        <v>30769.200000000001</v>
      </c>
      <c r="D30" s="136">
        <v>14652</v>
      </c>
      <c r="E30" s="131"/>
      <c r="F30" s="132">
        <f>D30*110%</f>
        <v>16117.2</v>
      </c>
      <c r="G30" s="133">
        <f t="shared" si="1"/>
        <v>369230.4</v>
      </c>
    </row>
    <row r="31" spans="1:7" ht="15.75" x14ac:dyDescent="0.25">
      <c r="A31" s="180" t="s">
        <v>312</v>
      </c>
      <c r="B31" s="181">
        <f>SUM(B23:B30)</f>
        <v>8</v>
      </c>
      <c r="C31" s="182">
        <f>SUM(C23:C30)</f>
        <v>380459.7</v>
      </c>
      <c r="D31" s="183">
        <f>SUM(D23:D30)</f>
        <v>140524</v>
      </c>
      <c r="E31" s="147"/>
      <c r="F31" s="148">
        <f>SUM(F23:F30)</f>
        <v>239935.7</v>
      </c>
      <c r="G31" s="184">
        <f>SUM(G23:G30)</f>
        <v>4565516.4000000004</v>
      </c>
    </row>
    <row r="32" spans="1:7" ht="15.75" x14ac:dyDescent="0.25">
      <c r="A32" s="293" t="s">
        <v>359</v>
      </c>
      <c r="B32" s="294"/>
      <c r="C32" s="294"/>
      <c r="D32" s="294"/>
      <c r="E32" s="294"/>
      <c r="F32" s="294"/>
      <c r="G32" s="295"/>
    </row>
    <row r="33" spans="1:7" ht="15.75" x14ac:dyDescent="0.25">
      <c r="A33" s="134" t="s">
        <v>357</v>
      </c>
      <c r="B33" s="135">
        <v>1</v>
      </c>
      <c r="C33" s="130">
        <f>D33+E33+F33</f>
        <v>52492.800000000003</v>
      </c>
      <c r="D33" s="136">
        <v>16404</v>
      </c>
      <c r="E33" s="131"/>
      <c r="F33" s="132">
        <f>D33*220%</f>
        <v>36088.800000000003</v>
      </c>
      <c r="G33" s="133">
        <f>C33*B33*12</f>
        <v>629913.60000000009</v>
      </c>
    </row>
    <row r="34" spans="1:7" ht="15.75" x14ac:dyDescent="0.25">
      <c r="A34" s="134" t="s">
        <v>481</v>
      </c>
      <c r="B34" s="135">
        <v>1</v>
      </c>
      <c r="C34" s="130">
        <f>D34+E34+F34</f>
        <v>47571.6</v>
      </c>
      <c r="D34" s="136">
        <v>16404</v>
      </c>
      <c r="E34" s="131"/>
      <c r="F34" s="132">
        <f>D34*190%</f>
        <v>31167.599999999999</v>
      </c>
      <c r="G34" s="133">
        <f>C34*B34*12</f>
        <v>570859.19999999995</v>
      </c>
    </row>
    <row r="35" spans="1:7" ht="15.75" x14ac:dyDescent="0.25">
      <c r="A35" s="134" t="s">
        <v>340</v>
      </c>
      <c r="B35" s="135">
        <v>1</v>
      </c>
      <c r="C35" s="130">
        <f>D35+E35+F35</f>
        <v>45931.199999999997</v>
      </c>
      <c r="D35" s="136">
        <v>16404</v>
      </c>
      <c r="E35" s="131"/>
      <c r="F35" s="132">
        <f>D35*180%</f>
        <v>29527.200000000001</v>
      </c>
      <c r="G35" s="133">
        <f>C35*B35*12</f>
        <v>551174.39999999991</v>
      </c>
    </row>
    <row r="36" spans="1:7" ht="15.75" x14ac:dyDescent="0.25">
      <c r="A36" s="134" t="s">
        <v>360</v>
      </c>
      <c r="B36" s="135">
        <v>1</v>
      </c>
      <c r="C36" s="130">
        <f>D36+E36+F36</f>
        <v>34478.399999999994</v>
      </c>
      <c r="D36" s="136">
        <v>15672</v>
      </c>
      <c r="E36" s="131"/>
      <c r="F36" s="132">
        <f>D36*120%</f>
        <v>18806.399999999998</v>
      </c>
      <c r="G36" s="133">
        <f>C36*B36*12</f>
        <v>413740.79999999993</v>
      </c>
    </row>
    <row r="37" spans="1:7" ht="15.75" x14ac:dyDescent="0.25">
      <c r="A37" s="138" t="s">
        <v>467</v>
      </c>
      <c r="B37" s="139">
        <v>1</v>
      </c>
      <c r="C37" s="130">
        <f>D37+E37+F37</f>
        <v>32234.399999999998</v>
      </c>
      <c r="D37" s="140">
        <v>14652</v>
      </c>
      <c r="E37" s="131"/>
      <c r="F37" s="132">
        <f>D37*120%</f>
        <v>17582.399999999998</v>
      </c>
      <c r="G37" s="133">
        <f>C37*B37*12</f>
        <v>386812.8</v>
      </c>
    </row>
    <row r="38" spans="1:7" ht="15.75" x14ac:dyDescent="0.25">
      <c r="A38" s="141" t="s">
        <v>312</v>
      </c>
      <c r="B38" s="142">
        <f>SUM(B33:B37)</f>
        <v>5</v>
      </c>
      <c r="C38" s="143">
        <f>SUM(C33:C37)</f>
        <v>212708.39999999997</v>
      </c>
      <c r="D38" s="143">
        <f>SUM(D33:D37)</f>
        <v>79536</v>
      </c>
      <c r="E38" s="143"/>
      <c r="F38" s="144">
        <f>SUM(F33:F37)</f>
        <v>133172.4</v>
      </c>
      <c r="G38" s="143">
        <f>SUM(G33:G37)</f>
        <v>2552500.7999999998</v>
      </c>
    </row>
    <row r="39" spans="1:7" ht="15.75" x14ac:dyDescent="0.25">
      <c r="A39" s="268" t="s">
        <v>313</v>
      </c>
      <c r="B39" s="269"/>
      <c r="C39" s="269"/>
      <c r="D39" s="269"/>
      <c r="E39" s="269"/>
      <c r="F39" s="269"/>
      <c r="G39" s="270"/>
    </row>
    <row r="40" spans="1:7" ht="15.75" x14ac:dyDescent="0.25">
      <c r="A40" s="145" t="s">
        <v>314</v>
      </c>
      <c r="B40" s="135">
        <v>1</v>
      </c>
      <c r="C40" s="136">
        <f>D40+E40+F40</f>
        <v>47571.6</v>
      </c>
      <c r="D40" s="136">
        <v>16404</v>
      </c>
      <c r="E40" s="131"/>
      <c r="F40" s="132">
        <f>D40*190%</f>
        <v>31167.599999999999</v>
      </c>
      <c r="G40" s="133">
        <f>C40*B40*12</f>
        <v>570859.19999999995</v>
      </c>
    </row>
    <row r="41" spans="1:7" ht="15.75" x14ac:dyDescent="0.25">
      <c r="A41" s="145" t="s">
        <v>354</v>
      </c>
      <c r="B41" s="135">
        <v>1</v>
      </c>
      <c r="C41" s="136">
        <f>D41+E41+F41</f>
        <v>31344</v>
      </c>
      <c r="D41" s="136">
        <v>15672</v>
      </c>
      <c r="E41" s="131"/>
      <c r="F41" s="132">
        <f>D41*100%</f>
        <v>15672</v>
      </c>
      <c r="G41" s="133">
        <f>C41*B41*12</f>
        <v>376128</v>
      </c>
    </row>
    <row r="42" spans="1:7" ht="15.75" x14ac:dyDescent="0.25">
      <c r="A42" s="141" t="s">
        <v>312</v>
      </c>
      <c r="B42" s="142">
        <f>SUM(B40:B41)</f>
        <v>2</v>
      </c>
      <c r="C42" s="146">
        <f>SUM(C40:C41)</f>
        <v>78915.600000000006</v>
      </c>
      <c r="D42" s="147">
        <f>SUM(D40:D41)</f>
        <v>32076</v>
      </c>
      <c r="E42" s="147">
        <f ca="1">SUM(E40:E46)</f>
        <v>0</v>
      </c>
      <c r="F42" s="148">
        <f>SUM(F40:F41)</f>
        <v>46839.6</v>
      </c>
      <c r="G42" s="143">
        <f>SUM(G40:G41)</f>
        <v>946987.2</v>
      </c>
    </row>
    <row r="43" spans="1:7" ht="15.75" x14ac:dyDescent="0.25">
      <c r="A43" s="268" t="s">
        <v>315</v>
      </c>
      <c r="B43" s="269"/>
      <c r="C43" s="269"/>
      <c r="D43" s="269"/>
      <c r="E43" s="269"/>
      <c r="F43" s="269"/>
      <c r="G43" s="270"/>
    </row>
    <row r="44" spans="1:7" ht="15.75" x14ac:dyDescent="0.25">
      <c r="A44" s="145" t="s">
        <v>316</v>
      </c>
      <c r="B44" s="135">
        <v>2</v>
      </c>
      <c r="C44" s="136">
        <f>D44+E44+F44</f>
        <v>30624</v>
      </c>
      <c r="D44" s="136">
        <v>15312</v>
      </c>
      <c r="E44" s="131"/>
      <c r="F44" s="132">
        <f>D44*100%</f>
        <v>15312</v>
      </c>
      <c r="G44" s="133">
        <f>C44*B44*12</f>
        <v>734976</v>
      </c>
    </row>
    <row r="45" spans="1:7" ht="15.75" x14ac:dyDescent="0.25">
      <c r="A45" s="145" t="s">
        <v>317</v>
      </c>
      <c r="B45" s="135">
        <v>7</v>
      </c>
      <c r="C45" s="136">
        <f>D45+E45+F45</f>
        <v>18883.2</v>
      </c>
      <c r="D45" s="136">
        <v>13488</v>
      </c>
      <c r="E45" s="131"/>
      <c r="F45" s="132">
        <f>D45*40%</f>
        <v>5395.2000000000007</v>
      </c>
      <c r="G45" s="133">
        <f>C45*B45*12</f>
        <v>1586188.7999999998</v>
      </c>
    </row>
    <row r="46" spans="1:7" ht="15.75" x14ac:dyDescent="0.25">
      <c r="A46" s="145" t="s">
        <v>366</v>
      </c>
      <c r="B46" s="135">
        <v>3</v>
      </c>
      <c r="C46" s="136">
        <f>D46+E46+F46</f>
        <v>23506.800000000003</v>
      </c>
      <c r="D46" s="136">
        <v>12372</v>
      </c>
      <c r="E46" s="131"/>
      <c r="F46" s="132">
        <f>D46*90%</f>
        <v>11134.800000000001</v>
      </c>
      <c r="G46" s="133">
        <f>C46*B46*12</f>
        <v>846244.8</v>
      </c>
    </row>
    <row r="47" spans="1:7" ht="15.75" x14ac:dyDescent="0.25">
      <c r="A47" s="141" t="s">
        <v>312</v>
      </c>
      <c r="B47" s="142">
        <f>SUM(B44:B46)</f>
        <v>12</v>
      </c>
      <c r="C47" s="146">
        <f>SUM(C44:C46)</f>
        <v>73014</v>
      </c>
      <c r="D47" s="146">
        <f>SUM(D44:D46)</f>
        <v>41172</v>
      </c>
      <c r="E47" s="146">
        <f>SUM(E44:E45)</f>
        <v>0</v>
      </c>
      <c r="F47" s="149">
        <f>SUM(F44:F46)</f>
        <v>31842</v>
      </c>
      <c r="G47" s="143">
        <f>SUM(G44:G46)</f>
        <v>3167409.5999999996</v>
      </c>
    </row>
    <row r="48" spans="1:7" ht="15.75" x14ac:dyDescent="0.25">
      <c r="A48" s="271" t="s">
        <v>318</v>
      </c>
      <c r="B48" s="272"/>
      <c r="C48" s="272"/>
      <c r="D48" s="272"/>
      <c r="E48" s="272"/>
      <c r="F48" s="272"/>
      <c r="G48" s="273"/>
    </row>
    <row r="49" spans="1:7" ht="47.25" x14ac:dyDescent="0.25">
      <c r="A49" s="145" t="s">
        <v>319</v>
      </c>
      <c r="B49" s="135">
        <v>2</v>
      </c>
      <c r="C49" s="136">
        <f t="shared" ref="C49:C55" si="2">D49+E49+F49</f>
        <v>33667.199999999997</v>
      </c>
      <c r="D49" s="136">
        <v>16032</v>
      </c>
      <c r="E49" s="131"/>
      <c r="F49" s="132">
        <f>D49*110%</f>
        <v>17635.2</v>
      </c>
      <c r="G49" s="133">
        <f t="shared" ref="G49:G55" si="3">C49*B49*12</f>
        <v>808012.79999999993</v>
      </c>
    </row>
    <row r="50" spans="1:7" ht="15.75" x14ac:dyDescent="0.25">
      <c r="A50" s="145" t="s">
        <v>320</v>
      </c>
      <c r="B50" s="135">
        <v>3</v>
      </c>
      <c r="C50" s="136">
        <f t="shared" si="2"/>
        <v>33667.199999999997</v>
      </c>
      <c r="D50" s="136">
        <v>16032</v>
      </c>
      <c r="E50" s="131"/>
      <c r="F50" s="132">
        <f>D50*110%</f>
        <v>17635.2</v>
      </c>
      <c r="G50" s="133">
        <f t="shared" si="3"/>
        <v>1212019.2</v>
      </c>
    </row>
    <row r="51" spans="1:7" ht="15.75" x14ac:dyDescent="0.25">
      <c r="A51" s="145" t="s">
        <v>321</v>
      </c>
      <c r="B51" s="135">
        <v>2</v>
      </c>
      <c r="C51" s="136">
        <f t="shared" si="2"/>
        <v>33699.600000000006</v>
      </c>
      <c r="D51" s="136">
        <v>14652</v>
      </c>
      <c r="E51" s="131"/>
      <c r="F51" s="132">
        <f>D51*130%</f>
        <v>19047.600000000002</v>
      </c>
      <c r="G51" s="133">
        <f t="shared" si="3"/>
        <v>808790.40000000014</v>
      </c>
    </row>
    <row r="52" spans="1:7" ht="15.75" x14ac:dyDescent="0.25">
      <c r="A52" s="145" t="s">
        <v>322</v>
      </c>
      <c r="B52" s="135">
        <v>7</v>
      </c>
      <c r="C52" s="136">
        <f t="shared" si="2"/>
        <v>28209.599999999999</v>
      </c>
      <c r="D52" s="136">
        <v>15672</v>
      </c>
      <c r="E52" s="131"/>
      <c r="F52" s="132">
        <f>D52*80%</f>
        <v>12537.6</v>
      </c>
      <c r="G52" s="133">
        <f t="shared" si="3"/>
        <v>2369606.4</v>
      </c>
    </row>
    <row r="53" spans="1:7" ht="31.5" x14ac:dyDescent="0.25">
      <c r="A53" s="138" t="s">
        <v>311</v>
      </c>
      <c r="B53" s="139">
        <v>1</v>
      </c>
      <c r="C53" s="130">
        <f t="shared" si="2"/>
        <v>29776.800000000003</v>
      </c>
      <c r="D53" s="140">
        <v>15672</v>
      </c>
      <c r="E53" s="131"/>
      <c r="F53" s="132">
        <f>D53*90%</f>
        <v>14104.800000000001</v>
      </c>
      <c r="G53" s="133">
        <f t="shared" si="3"/>
        <v>357321.60000000003</v>
      </c>
    </row>
    <row r="54" spans="1:7" ht="15.75" x14ac:dyDescent="0.25">
      <c r="A54" s="162" t="s">
        <v>363</v>
      </c>
      <c r="B54" s="135">
        <v>1</v>
      </c>
      <c r="C54" s="136">
        <f t="shared" si="2"/>
        <v>27838.800000000003</v>
      </c>
      <c r="D54" s="136">
        <v>14652</v>
      </c>
      <c r="E54" s="131"/>
      <c r="F54" s="132">
        <f>D54*90%</f>
        <v>13186.800000000001</v>
      </c>
      <c r="G54" s="133">
        <f t="shared" si="3"/>
        <v>334065.60000000003</v>
      </c>
    </row>
    <row r="55" spans="1:7" ht="15.75" x14ac:dyDescent="0.25">
      <c r="A55" s="162" t="s">
        <v>334</v>
      </c>
      <c r="B55" s="135">
        <v>1</v>
      </c>
      <c r="C55" s="136">
        <f t="shared" si="2"/>
        <v>29304</v>
      </c>
      <c r="D55" s="136">
        <v>14652</v>
      </c>
      <c r="E55" s="131"/>
      <c r="F55" s="132">
        <f>D55*100%</f>
        <v>14652</v>
      </c>
      <c r="G55" s="133">
        <f t="shared" si="3"/>
        <v>351648</v>
      </c>
    </row>
    <row r="56" spans="1:7" ht="15.75" x14ac:dyDescent="0.25">
      <c r="A56" s="141" t="s">
        <v>312</v>
      </c>
      <c r="B56" s="142">
        <f t="shared" ref="B56:G56" si="4">SUM(B49:B55)</f>
        <v>17</v>
      </c>
      <c r="C56" s="146">
        <f t="shared" si="4"/>
        <v>216163.20000000001</v>
      </c>
      <c r="D56" s="146">
        <f t="shared" si="4"/>
        <v>107364</v>
      </c>
      <c r="E56" s="146">
        <f t="shared" si="4"/>
        <v>0</v>
      </c>
      <c r="F56" s="146">
        <f t="shared" si="4"/>
        <v>108799.20000000001</v>
      </c>
      <c r="G56" s="146">
        <f t="shared" si="4"/>
        <v>6241464</v>
      </c>
    </row>
    <row r="57" spans="1:7" ht="15.75" x14ac:dyDescent="0.25">
      <c r="A57" s="268" t="s">
        <v>323</v>
      </c>
      <c r="B57" s="269"/>
      <c r="C57" s="269"/>
      <c r="D57" s="269"/>
      <c r="E57" s="269"/>
      <c r="F57" s="269"/>
      <c r="G57" s="270"/>
    </row>
    <row r="58" spans="1:7" ht="15.75" x14ac:dyDescent="0.25">
      <c r="A58" s="145" t="s">
        <v>324</v>
      </c>
      <c r="B58" s="135">
        <v>2</v>
      </c>
      <c r="C58" s="136">
        <f>D58+E58+F58</f>
        <v>30769.200000000001</v>
      </c>
      <c r="D58" s="136">
        <v>14652</v>
      </c>
      <c r="E58" s="131"/>
      <c r="F58" s="132">
        <f>D58*110%</f>
        <v>16117.2</v>
      </c>
      <c r="G58" s="133">
        <f>C58*B58*12</f>
        <v>738460.8</v>
      </c>
    </row>
    <row r="59" spans="1:7" ht="15.75" x14ac:dyDescent="0.25">
      <c r="A59" s="145" t="s">
        <v>325</v>
      </c>
      <c r="B59" s="135">
        <v>3</v>
      </c>
      <c r="C59" s="136">
        <f>D59+E59+F59</f>
        <v>30769.200000000001</v>
      </c>
      <c r="D59" s="136">
        <v>14652</v>
      </c>
      <c r="E59" s="131"/>
      <c r="F59" s="132">
        <f>D59*110%</f>
        <v>16117.2</v>
      </c>
      <c r="G59" s="133">
        <f>C59*B59*12</f>
        <v>1107691.2000000002</v>
      </c>
    </row>
    <row r="60" spans="1:7" ht="15.75" x14ac:dyDescent="0.25">
      <c r="A60" s="141" t="s">
        <v>312</v>
      </c>
      <c r="B60" s="142">
        <f t="shared" ref="B60:G60" si="5">SUM(B58:B59)</f>
        <v>5</v>
      </c>
      <c r="C60" s="146">
        <f t="shared" si="5"/>
        <v>61538.400000000001</v>
      </c>
      <c r="D60" s="147">
        <f t="shared" si="5"/>
        <v>29304</v>
      </c>
      <c r="E60" s="147">
        <f t="shared" si="5"/>
        <v>0</v>
      </c>
      <c r="F60" s="148">
        <f t="shared" si="5"/>
        <v>32234.400000000001</v>
      </c>
      <c r="G60" s="143">
        <f t="shared" si="5"/>
        <v>1846152.0000000002</v>
      </c>
    </row>
    <row r="61" spans="1:7" ht="15.75" x14ac:dyDescent="0.25">
      <c r="A61" s="290" t="s">
        <v>326</v>
      </c>
      <c r="B61" s="291"/>
      <c r="C61" s="291"/>
      <c r="D61" s="291"/>
      <c r="E61" s="291"/>
      <c r="F61" s="291"/>
      <c r="G61" s="292"/>
    </row>
    <row r="62" spans="1:7" ht="31.5" x14ac:dyDescent="0.25">
      <c r="A62" s="145" t="s">
        <v>337</v>
      </c>
      <c r="B62" s="135">
        <v>1</v>
      </c>
      <c r="C62" s="136">
        <f t="shared" ref="C62:C69" si="6">D62+E62+F62</f>
        <v>36279.24</v>
      </c>
      <c r="D62" s="136">
        <v>16764</v>
      </c>
      <c r="E62" s="131"/>
      <c r="F62" s="132">
        <f>D62*116%+69</f>
        <v>19515.239999999998</v>
      </c>
      <c r="G62" s="133">
        <f t="shared" ref="G62:G69" si="7">C62*B62*12</f>
        <v>435350.88</v>
      </c>
    </row>
    <row r="63" spans="1:7" ht="15.75" x14ac:dyDescent="0.25">
      <c r="A63" s="145" t="s">
        <v>479</v>
      </c>
      <c r="B63" s="135">
        <v>1</v>
      </c>
      <c r="C63" s="136">
        <f t="shared" si="6"/>
        <v>34448.400000000001</v>
      </c>
      <c r="D63" s="136">
        <v>16404</v>
      </c>
      <c r="E63" s="131"/>
      <c r="F63" s="132">
        <f>D63*110%</f>
        <v>18044.400000000001</v>
      </c>
      <c r="G63" s="133">
        <f t="shared" si="7"/>
        <v>413380.80000000005</v>
      </c>
    </row>
    <row r="64" spans="1:7" ht="31.5" x14ac:dyDescent="0.25">
      <c r="A64" s="145" t="s">
        <v>480</v>
      </c>
      <c r="B64" s="135">
        <v>1</v>
      </c>
      <c r="C64" s="136">
        <f t="shared" si="6"/>
        <v>35164.800000000003</v>
      </c>
      <c r="D64" s="136">
        <v>14652</v>
      </c>
      <c r="E64" s="131"/>
      <c r="F64" s="132">
        <f>D64*140%</f>
        <v>20512.8</v>
      </c>
      <c r="G64" s="133">
        <f t="shared" si="7"/>
        <v>421977.60000000003</v>
      </c>
    </row>
    <row r="65" spans="1:8" ht="31.5" x14ac:dyDescent="0.25">
      <c r="A65" s="145" t="s">
        <v>336</v>
      </c>
      <c r="B65" s="135">
        <v>2</v>
      </c>
      <c r="C65" s="136">
        <f t="shared" si="6"/>
        <v>25848</v>
      </c>
      <c r="D65" s="136">
        <v>12924</v>
      </c>
      <c r="E65" s="131"/>
      <c r="F65" s="132">
        <f>D65*100%</f>
        <v>12924</v>
      </c>
      <c r="G65" s="133">
        <f t="shared" si="7"/>
        <v>620352</v>
      </c>
    </row>
    <row r="66" spans="1:8" ht="15.75" x14ac:dyDescent="0.25">
      <c r="A66" s="145" t="s">
        <v>327</v>
      </c>
      <c r="B66" s="135">
        <v>2</v>
      </c>
      <c r="C66" s="136">
        <f t="shared" si="6"/>
        <v>25848</v>
      </c>
      <c r="D66" s="136">
        <v>12924</v>
      </c>
      <c r="E66" s="131"/>
      <c r="F66" s="132">
        <f>D66*100%</f>
        <v>12924</v>
      </c>
      <c r="G66" s="133">
        <f t="shared" si="7"/>
        <v>620352</v>
      </c>
    </row>
    <row r="67" spans="1:8" ht="15.75" x14ac:dyDescent="0.25">
      <c r="A67" s="145" t="s">
        <v>328</v>
      </c>
      <c r="B67" s="135">
        <v>8</v>
      </c>
      <c r="C67" s="136">
        <f t="shared" si="6"/>
        <v>22200</v>
      </c>
      <c r="D67" s="136">
        <v>11100</v>
      </c>
      <c r="E67" s="131"/>
      <c r="F67" s="132">
        <f>D67*100%</f>
        <v>11100</v>
      </c>
      <c r="G67" s="133">
        <f t="shared" si="7"/>
        <v>2131200</v>
      </c>
    </row>
    <row r="68" spans="1:8" ht="31.5" x14ac:dyDescent="0.25">
      <c r="A68" s="145" t="s">
        <v>329</v>
      </c>
      <c r="B68" s="135">
        <v>2</v>
      </c>
      <c r="C68" s="136">
        <f t="shared" si="6"/>
        <v>22200</v>
      </c>
      <c r="D68" s="136">
        <v>11100</v>
      </c>
      <c r="E68" s="131"/>
      <c r="F68" s="132">
        <f>D68*100%</f>
        <v>11100</v>
      </c>
      <c r="G68" s="133">
        <f t="shared" si="7"/>
        <v>532800</v>
      </c>
    </row>
    <row r="69" spans="1:8" ht="15.75" x14ac:dyDescent="0.25">
      <c r="A69" s="150" t="s">
        <v>330</v>
      </c>
      <c r="B69" s="151">
        <v>1</v>
      </c>
      <c r="C69" s="136">
        <f t="shared" si="6"/>
        <v>33720</v>
      </c>
      <c r="D69" s="152">
        <v>13488</v>
      </c>
      <c r="E69" s="131"/>
      <c r="F69" s="132">
        <f>D69*150%</f>
        <v>20232</v>
      </c>
      <c r="G69" s="133">
        <f t="shared" si="7"/>
        <v>404640</v>
      </c>
    </row>
    <row r="70" spans="1:8" ht="16.5" thickBot="1" x14ac:dyDescent="0.3">
      <c r="A70" s="153" t="s">
        <v>312</v>
      </c>
      <c r="B70" s="154">
        <f>SUM(B62:B69)</f>
        <v>18</v>
      </c>
      <c r="C70" s="155">
        <f>SUM(C62:C69)</f>
        <v>235708.44</v>
      </c>
      <c r="D70" s="155">
        <f>SUM(D62:D69)</f>
        <v>109356</v>
      </c>
      <c r="E70" s="155"/>
      <c r="F70" s="156">
        <f>SUM(F62:F69)</f>
        <v>126352.44</v>
      </c>
      <c r="G70" s="157">
        <f>SUM(G62:G69)</f>
        <v>5580053.2800000003</v>
      </c>
    </row>
    <row r="71" spans="1:8" ht="16.5" thickBot="1" x14ac:dyDescent="0.3">
      <c r="A71" s="158" t="s">
        <v>331</v>
      </c>
      <c r="B71" s="159">
        <f>B31+B38+B42+B47+B56+B60+B70</f>
        <v>67</v>
      </c>
      <c r="C71" s="160">
        <f>C31+C38+C42+C47+C56+C60+C70</f>
        <v>1258507.74</v>
      </c>
      <c r="D71" s="160">
        <f>D31+D38+D42+D47+D56+D60+D70</f>
        <v>539332</v>
      </c>
      <c r="E71" s="160"/>
      <c r="F71" s="160">
        <f>F31+F38+F42+F47+F56+F60+F70</f>
        <v>719175.74</v>
      </c>
      <c r="G71" s="160">
        <f>G31+G38+G42+G47+G56+G60+G70</f>
        <v>24900083.280000001</v>
      </c>
    </row>
    <row r="72" spans="1:8" ht="15.75" x14ac:dyDescent="0.25">
      <c r="A72" s="296" t="s">
        <v>355</v>
      </c>
      <c r="B72" s="297"/>
      <c r="C72" s="297"/>
      <c r="D72" s="297"/>
      <c r="E72" s="297"/>
      <c r="F72" s="297"/>
      <c r="G72" s="298"/>
    </row>
    <row r="73" spans="1:8" ht="15" customHeight="1" x14ac:dyDescent="0.25">
      <c r="A73" s="128" t="s">
        <v>356</v>
      </c>
      <c r="B73" s="129">
        <v>1</v>
      </c>
      <c r="C73" s="130">
        <f t="shared" ref="C73:C79" si="8">D73+E73+F73</f>
        <v>52308</v>
      </c>
      <c r="D73" s="130">
        <v>17436</v>
      </c>
      <c r="E73" s="131"/>
      <c r="F73" s="132">
        <f>D73*200%</f>
        <v>34872</v>
      </c>
      <c r="G73" s="133">
        <f t="shared" ref="G73:G79" si="9">C73*B73*12</f>
        <v>627696</v>
      </c>
    </row>
    <row r="74" spans="1:8" ht="15.75" x14ac:dyDescent="0.25">
      <c r="A74" s="134" t="s">
        <v>338</v>
      </c>
      <c r="B74" s="135">
        <v>1</v>
      </c>
      <c r="C74" s="130">
        <f t="shared" si="8"/>
        <v>45931.199999999997</v>
      </c>
      <c r="D74" s="136">
        <v>16404</v>
      </c>
      <c r="E74" s="131"/>
      <c r="F74" s="132">
        <f>D74*180%</f>
        <v>29527.200000000001</v>
      </c>
      <c r="G74" s="133">
        <f t="shared" si="9"/>
        <v>551174.39999999991</v>
      </c>
    </row>
    <row r="75" spans="1:8" ht="15.75" x14ac:dyDescent="0.25">
      <c r="A75" s="134" t="s">
        <v>467</v>
      </c>
      <c r="B75" s="135">
        <v>1</v>
      </c>
      <c r="C75" s="130">
        <f t="shared" si="8"/>
        <v>35164.800000000003</v>
      </c>
      <c r="D75" s="136">
        <v>14652</v>
      </c>
      <c r="E75" s="131"/>
      <c r="F75" s="132">
        <f>D75*140%</f>
        <v>20512.8</v>
      </c>
      <c r="G75" s="133">
        <f t="shared" si="9"/>
        <v>421977.60000000003</v>
      </c>
    </row>
    <row r="76" spans="1:8" ht="15.75" x14ac:dyDescent="0.25">
      <c r="A76" s="134" t="s">
        <v>358</v>
      </c>
      <c r="B76" s="135">
        <v>1</v>
      </c>
      <c r="C76" s="130">
        <f t="shared" si="8"/>
        <v>34478.399999999994</v>
      </c>
      <c r="D76" s="136">
        <v>15672</v>
      </c>
      <c r="E76" s="131"/>
      <c r="F76" s="132">
        <f>D76*120%</f>
        <v>18806.399999999998</v>
      </c>
      <c r="G76" s="133">
        <f t="shared" si="9"/>
        <v>413740.79999999993</v>
      </c>
    </row>
    <row r="77" spans="1:8" ht="15.75" x14ac:dyDescent="0.25">
      <c r="A77" s="128" t="s">
        <v>468</v>
      </c>
      <c r="B77" s="129">
        <v>1</v>
      </c>
      <c r="C77" s="130">
        <f t="shared" si="8"/>
        <v>34641.600000000006</v>
      </c>
      <c r="D77" s="130">
        <v>12372</v>
      </c>
      <c r="E77" s="131"/>
      <c r="F77" s="132">
        <f>D77*180%</f>
        <v>22269.600000000002</v>
      </c>
      <c r="G77" s="133">
        <f t="shared" si="9"/>
        <v>415699.20000000007</v>
      </c>
    </row>
    <row r="78" spans="1:8" ht="15.75" x14ac:dyDescent="0.25">
      <c r="A78" s="128" t="s">
        <v>353</v>
      </c>
      <c r="B78" s="129">
        <v>1</v>
      </c>
      <c r="C78" s="130">
        <f t="shared" si="8"/>
        <v>34478.399999999994</v>
      </c>
      <c r="D78" s="130">
        <v>15672</v>
      </c>
      <c r="E78" s="131"/>
      <c r="F78" s="132">
        <f>D78*120%</f>
        <v>18806.399999999998</v>
      </c>
      <c r="G78" s="133">
        <f t="shared" si="9"/>
        <v>413740.79999999993</v>
      </c>
    </row>
    <row r="79" spans="1:8" ht="15.75" x14ac:dyDescent="0.25">
      <c r="A79" s="145" t="s">
        <v>335</v>
      </c>
      <c r="B79" s="135">
        <v>1</v>
      </c>
      <c r="C79" s="136">
        <f t="shared" si="8"/>
        <v>30769.200000000001</v>
      </c>
      <c r="D79" s="136">
        <v>14652</v>
      </c>
      <c r="E79" s="131"/>
      <c r="F79" s="132">
        <f>D79*110%</f>
        <v>16117.2</v>
      </c>
      <c r="G79" s="133">
        <f t="shared" si="9"/>
        <v>369230.4</v>
      </c>
      <c r="H79" s="50"/>
    </row>
    <row r="80" spans="1:8" ht="18.75" customHeight="1" x14ac:dyDescent="0.25">
      <c r="A80" s="141" t="s">
        <v>312</v>
      </c>
      <c r="B80" s="142">
        <f>SUM(B73:B79)</f>
        <v>7</v>
      </c>
      <c r="C80" s="143">
        <f>SUM(C73:C79)</f>
        <v>267771.59999999998</v>
      </c>
      <c r="D80" s="143">
        <f>SUM(D73:D79)</f>
        <v>106860</v>
      </c>
      <c r="E80" s="143">
        <f>SUM(E77:E77)</f>
        <v>0</v>
      </c>
      <c r="F80" s="144">
        <f>SUM(F73:F79)</f>
        <v>160911.6</v>
      </c>
      <c r="G80" s="143">
        <f>SUM(G73:G79)</f>
        <v>3213259.1999999997</v>
      </c>
    </row>
    <row r="81" spans="1:7" ht="15.75" x14ac:dyDescent="0.25">
      <c r="A81" s="268" t="s">
        <v>315</v>
      </c>
      <c r="B81" s="269"/>
      <c r="C81" s="269"/>
      <c r="D81" s="269"/>
      <c r="E81" s="269"/>
      <c r="F81" s="269"/>
      <c r="G81" s="270"/>
    </row>
    <row r="82" spans="1:7" ht="15.75" x14ac:dyDescent="0.25">
      <c r="A82" s="128" t="s">
        <v>357</v>
      </c>
      <c r="B82" s="129">
        <v>1</v>
      </c>
      <c r="C82" s="130">
        <f>D82+E82+F82</f>
        <v>45931.199999999997</v>
      </c>
      <c r="D82" s="130">
        <v>16404</v>
      </c>
      <c r="E82" s="131"/>
      <c r="F82" s="132">
        <f>D82*180%</f>
        <v>29527.200000000001</v>
      </c>
      <c r="G82" s="133">
        <f>C82*B82*12</f>
        <v>551174.39999999991</v>
      </c>
    </row>
    <row r="83" spans="1:7" ht="15.75" x14ac:dyDescent="0.25">
      <c r="A83" s="145" t="s">
        <v>316</v>
      </c>
      <c r="B83" s="135">
        <v>2</v>
      </c>
      <c r="C83" s="136">
        <f>D83+E83+F83</f>
        <v>33686.399999999994</v>
      </c>
      <c r="D83" s="136">
        <v>15312</v>
      </c>
      <c r="E83" s="131"/>
      <c r="F83" s="132">
        <f>D83*120%</f>
        <v>18374.399999999998</v>
      </c>
      <c r="G83" s="133">
        <f>C83*B83*12</f>
        <v>808473.59999999986</v>
      </c>
    </row>
    <row r="84" spans="1:7" ht="15.75" x14ac:dyDescent="0.25">
      <c r="A84" s="145" t="s">
        <v>317</v>
      </c>
      <c r="B84" s="135">
        <v>9</v>
      </c>
      <c r="C84" s="136">
        <f>D84+E84+F84</f>
        <v>21580.799999999999</v>
      </c>
      <c r="D84" s="136">
        <v>13488</v>
      </c>
      <c r="E84" s="131"/>
      <c r="F84" s="132">
        <f>D84*60%</f>
        <v>8092.7999999999993</v>
      </c>
      <c r="G84" s="133">
        <f>C84*B84*12</f>
        <v>2330726.3999999999</v>
      </c>
    </row>
    <row r="85" spans="1:7" ht="15.75" x14ac:dyDescent="0.25">
      <c r="A85" s="145" t="s">
        <v>366</v>
      </c>
      <c r="B85" s="135">
        <v>4</v>
      </c>
      <c r="C85" s="136">
        <f>D85+E85+F85</f>
        <v>25981.200000000001</v>
      </c>
      <c r="D85" s="136">
        <v>12372</v>
      </c>
      <c r="E85" s="131"/>
      <c r="F85" s="132">
        <f>D85*110%</f>
        <v>13609.2</v>
      </c>
      <c r="G85" s="133">
        <f>C85*B85*12</f>
        <v>1247097.6000000001</v>
      </c>
    </row>
    <row r="86" spans="1:7" ht="15.75" x14ac:dyDescent="0.25">
      <c r="A86" s="141" t="s">
        <v>312</v>
      </c>
      <c r="B86" s="142">
        <f t="shared" ref="B86:G86" si="10">SUM(B82:B85)</f>
        <v>16</v>
      </c>
      <c r="C86" s="146">
        <f t="shared" si="10"/>
        <v>127179.59999999999</v>
      </c>
      <c r="D86" s="146">
        <f t="shared" si="10"/>
        <v>57576</v>
      </c>
      <c r="E86" s="146">
        <f t="shared" si="10"/>
        <v>0</v>
      </c>
      <c r="F86" s="149">
        <f t="shared" si="10"/>
        <v>69603.599999999991</v>
      </c>
      <c r="G86" s="143">
        <f t="shared" si="10"/>
        <v>4937472</v>
      </c>
    </row>
    <row r="87" spans="1:7" ht="15.75" x14ac:dyDescent="0.25">
      <c r="A87" s="271" t="s">
        <v>318</v>
      </c>
      <c r="B87" s="272"/>
      <c r="C87" s="272"/>
      <c r="D87" s="272"/>
      <c r="E87" s="272"/>
      <c r="F87" s="272"/>
      <c r="G87" s="273"/>
    </row>
    <row r="88" spans="1:7" ht="15.75" x14ac:dyDescent="0.25">
      <c r="A88" s="128" t="s">
        <v>357</v>
      </c>
      <c r="B88" s="129">
        <v>1</v>
      </c>
      <c r="C88" s="130">
        <f t="shared" ref="C88:C97" si="11">D88+E88+F88</f>
        <v>45931.199999999997</v>
      </c>
      <c r="D88" s="130">
        <v>16404</v>
      </c>
      <c r="E88" s="131"/>
      <c r="F88" s="132">
        <f>D88*180%</f>
        <v>29527.200000000001</v>
      </c>
      <c r="G88" s="133">
        <f t="shared" ref="G88:G97" si="12">C88*B88*12</f>
        <v>551174.39999999991</v>
      </c>
    </row>
    <row r="89" spans="1:7" ht="31.5" x14ac:dyDescent="0.25">
      <c r="A89" s="145" t="s">
        <v>333</v>
      </c>
      <c r="B89" s="135">
        <v>1</v>
      </c>
      <c r="C89" s="136">
        <f t="shared" si="11"/>
        <v>38476.800000000003</v>
      </c>
      <c r="D89" s="136">
        <v>16032</v>
      </c>
      <c r="E89" s="131"/>
      <c r="F89" s="132">
        <f>D89*140%</f>
        <v>22444.799999999999</v>
      </c>
      <c r="G89" s="133">
        <f t="shared" si="12"/>
        <v>461721.60000000003</v>
      </c>
    </row>
    <row r="90" spans="1:7" ht="31.5" x14ac:dyDescent="0.25">
      <c r="A90" s="145" t="s">
        <v>361</v>
      </c>
      <c r="B90" s="135">
        <v>1</v>
      </c>
      <c r="C90" s="136">
        <f t="shared" si="11"/>
        <v>38476.800000000003</v>
      </c>
      <c r="D90" s="136">
        <v>16032</v>
      </c>
      <c r="E90" s="131"/>
      <c r="F90" s="132">
        <f>D90*140%</f>
        <v>22444.799999999999</v>
      </c>
      <c r="G90" s="133">
        <f t="shared" si="12"/>
        <v>461721.60000000003</v>
      </c>
    </row>
    <row r="91" spans="1:7" ht="15.75" x14ac:dyDescent="0.25">
      <c r="A91" s="145" t="s">
        <v>320</v>
      </c>
      <c r="B91" s="135">
        <v>3</v>
      </c>
      <c r="C91" s="136">
        <f t="shared" si="11"/>
        <v>38476.800000000003</v>
      </c>
      <c r="D91" s="136">
        <v>16032</v>
      </c>
      <c r="E91" s="131"/>
      <c r="F91" s="132">
        <f>D91*140%</f>
        <v>22444.799999999999</v>
      </c>
      <c r="G91" s="133">
        <f t="shared" si="12"/>
        <v>1385164.8</v>
      </c>
    </row>
    <row r="92" spans="1:7" ht="15.75" x14ac:dyDescent="0.25">
      <c r="A92" s="145" t="s">
        <v>321</v>
      </c>
      <c r="B92" s="135">
        <v>2</v>
      </c>
      <c r="C92" s="136">
        <f t="shared" si="11"/>
        <v>38095.199999999997</v>
      </c>
      <c r="D92" s="136">
        <v>14652</v>
      </c>
      <c r="E92" s="131"/>
      <c r="F92" s="132">
        <f>D92*160%</f>
        <v>23443.200000000001</v>
      </c>
      <c r="G92" s="133">
        <f t="shared" si="12"/>
        <v>914284.79999999993</v>
      </c>
    </row>
    <row r="93" spans="1:7" ht="15.75" x14ac:dyDescent="0.25">
      <c r="A93" s="145" t="s">
        <v>322</v>
      </c>
      <c r="B93" s="135">
        <v>6</v>
      </c>
      <c r="C93" s="136">
        <f t="shared" si="11"/>
        <v>34478.399999999994</v>
      </c>
      <c r="D93" s="136">
        <v>15672</v>
      </c>
      <c r="E93" s="131"/>
      <c r="F93" s="132">
        <f>D93*120%</f>
        <v>18806.399999999998</v>
      </c>
      <c r="G93" s="133">
        <f t="shared" si="12"/>
        <v>2482444.7999999998</v>
      </c>
    </row>
    <row r="94" spans="1:7" ht="31.5" x14ac:dyDescent="0.25">
      <c r="A94" s="145" t="s">
        <v>362</v>
      </c>
      <c r="B94" s="135">
        <v>1</v>
      </c>
      <c r="C94" s="136">
        <f t="shared" si="11"/>
        <v>31424.400000000001</v>
      </c>
      <c r="D94" s="136">
        <v>14964</v>
      </c>
      <c r="E94" s="131"/>
      <c r="F94" s="132">
        <f>D94*110%</f>
        <v>16460.400000000001</v>
      </c>
      <c r="G94" s="133">
        <f t="shared" si="12"/>
        <v>377092.80000000005</v>
      </c>
    </row>
    <row r="95" spans="1:7" ht="15" customHeight="1" x14ac:dyDescent="0.25">
      <c r="A95" s="145" t="s">
        <v>363</v>
      </c>
      <c r="B95" s="135">
        <v>1</v>
      </c>
      <c r="C95" s="136">
        <f t="shared" si="11"/>
        <v>29304</v>
      </c>
      <c r="D95" s="136">
        <v>14652</v>
      </c>
      <c r="E95" s="131"/>
      <c r="F95" s="132">
        <f>D95*100%</f>
        <v>14652</v>
      </c>
      <c r="G95" s="133">
        <f t="shared" si="12"/>
        <v>351648</v>
      </c>
    </row>
    <row r="96" spans="1:7" ht="18" customHeight="1" x14ac:dyDescent="0.25">
      <c r="A96" s="162" t="s">
        <v>334</v>
      </c>
      <c r="B96" s="135">
        <v>1</v>
      </c>
      <c r="C96" s="136">
        <f t="shared" si="11"/>
        <v>32234.399999999998</v>
      </c>
      <c r="D96" s="136">
        <v>14652</v>
      </c>
      <c r="E96" s="131"/>
      <c r="F96" s="132">
        <f>D96*120%</f>
        <v>17582.399999999998</v>
      </c>
      <c r="G96" s="133">
        <f t="shared" si="12"/>
        <v>386812.8</v>
      </c>
    </row>
    <row r="97" spans="1:8" ht="31.5" x14ac:dyDescent="0.25">
      <c r="A97" s="138" t="s">
        <v>311</v>
      </c>
      <c r="B97" s="139">
        <v>1</v>
      </c>
      <c r="C97" s="130">
        <f t="shared" si="11"/>
        <v>31853.107499999998</v>
      </c>
      <c r="D97" s="140">
        <v>15672</v>
      </c>
      <c r="E97" s="131"/>
      <c r="F97" s="132">
        <f>D97*110%-1058.0925</f>
        <v>16181.1075</v>
      </c>
      <c r="G97" s="133">
        <f t="shared" si="12"/>
        <v>382237.29</v>
      </c>
    </row>
    <row r="98" spans="1:8" ht="15.75" x14ac:dyDescent="0.25">
      <c r="A98" s="141" t="s">
        <v>312</v>
      </c>
      <c r="B98" s="142">
        <f>SUM(B88:B97)</f>
        <v>18</v>
      </c>
      <c r="C98" s="146">
        <f>SUM(C88:C97)</f>
        <v>358751.10749999998</v>
      </c>
      <c r="D98" s="146">
        <f>SUM(D88:D97)</f>
        <v>154764</v>
      </c>
      <c r="E98" s="146">
        <f>SUM(E88:E95)</f>
        <v>0</v>
      </c>
      <c r="F98" s="149">
        <f>SUM(F88:F97)</f>
        <v>203987.10750000001</v>
      </c>
      <c r="G98" s="143">
        <f>SUM(G88:G97)</f>
        <v>7754302.8899999997</v>
      </c>
    </row>
    <row r="99" spans="1:8" ht="15.75" x14ac:dyDescent="0.25">
      <c r="A99" s="268" t="s">
        <v>323</v>
      </c>
      <c r="B99" s="269"/>
      <c r="C99" s="269"/>
      <c r="D99" s="269"/>
      <c r="E99" s="269"/>
      <c r="F99" s="269"/>
      <c r="G99" s="270"/>
    </row>
    <row r="100" spans="1:8" ht="15.75" x14ac:dyDescent="0.25">
      <c r="A100" s="128" t="s">
        <v>357</v>
      </c>
      <c r="B100" s="129">
        <v>1</v>
      </c>
      <c r="C100" s="130">
        <f>D100+E100+F100</f>
        <v>45931.199999999997</v>
      </c>
      <c r="D100" s="130">
        <v>16404</v>
      </c>
      <c r="E100" s="131"/>
      <c r="F100" s="132">
        <f>D100*180%</f>
        <v>29527.200000000001</v>
      </c>
      <c r="G100" s="133">
        <f>C100*B100*12</f>
        <v>551174.39999999991</v>
      </c>
    </row>
    <row r="101" spans="1:8" ht="15.75" x14ac:dyDescent="0.25">
      <c r="A101" s="145" t="s">
        <v>324</v>
      </c>
      <c r="B101" s="135">
        <v>3</v>
      </c>
      <c r="C101" s="136">
        <f>D101+E101+F101</f>
        <v>31501.8</v>
      </c>
      <c r="D101" s="136">
        <v>14652</v>
      </c>
      <c r="E101" s="131"/>
      <c r="F101" s="132">
        <f>D101*115%</f>
        <v>16849.8</v>
      </c>
      <c r="G101" s="133">
        <f>C101*B101*12</f>
        <v>1134064.7999999998</v>
      </c>
    </row>
    <row r="102" spans="1:8" ht="15.75" x14ac:dyDescent="0.25">
      <c r="A102" s="145" t="s">
        <v>325</v>
      </c>
      <c r="B102" s="135">
        <v>2</v>
      </c>
      <c r="C102" s="136">
        <f>D102+E102+F102</f>
        <v>32234.399999999998</v>
      </c>
      <c r="D102" s="136">
        <v>14652</v>
      </c>
      <c r="E102" s="131"/>
      <c r="F102" s="132">
        <f>D102*120%</f>
        <v>17582.399999999998</v>
      </c>
      <c r="G102" s="133">
        <f>C102*B102*12</f>
        <v>773625.6</v>
      </c>
    </row>
    <row r="103" spans="1:8" ht="18" customHeight="1" x14ac:dyDescent="0.25">
      <c r="A103" s="141" t="s">
        <v>312</v>
      </c>
      <c r="B103" s="142">
        <f t="shared" ref="B103:G103" si="13">SUM(B100:B102)</f>
        <v>6</v>
      </c>
      <c r="C103" s="146">
        <f t="shared" si="13"/>
        <v>109667.4</v>
      </c>
      <c r="D103" s="147">
        <f t="shared" si="13"/>
        <v>45708</v>
      </c>
      <c r="E103" s="147">
        <f t="shared" si="13"/>
        <v>0</v>
      </c>
      <c r="F103" s="148">
        <f t="shared" si="13"/>
        <v>63959.399999999994</v>
      </c>
      <c r="G103" s="143">
        <f t="shared" si="13"/>
        <v>2458864.7999999998</v>
      </c>
    </row>
    <row r="104" spans="1:8" ht="15.75" x14ac:dyDescent="0.25">
      <c r="A104" s="290" t="s">
        <v>326</v>
      </c>
      <c r="B104" s="291"/>
      <c r="C104" s="291"/>
      <c r="D104" s="291"/>
      <c r="E104" s="291"/>
      <c r="F104" s="291"/>
      <c r="G104" s="292"/>
    </row>
    <row r="105" spans="1:8" ht="31.5" x14ac:dyDescent="0.25">
      <c r="A105" s="134" t="s">
        <v>337</v>
      </c>
      <c r="B105" s="135">
        <v>1</v>
      </c>
      <c r="C105" s="136">
        <f t="shared" ref="C105:C111" si="14">D105+E105+F105</f>
        <v>33528</v>
      </c>
      <c r="D105" s="136">
        <v>16764</v>
      </c>
      <c r="E105" s="131"/>
      <c r="F105" s="132">
        <f>D105*100%</f>
        <v>16764</v>
      </c>
      <c r="G105" s="133">
        <f t="shared" ref="G105:G111" si="15">C105*B105*12</f>
        <v>402336</v>
      </c>
    </row>
    <row r="106" spans="1:8" ht="15.75" x14ac:dyDescent="0.25">
      <c r="A106" s="134" t="s">
        <v>479</v>
      </c>
      <c r="B106" s="135">
        <v>1</v>
      </c>
      <c r="C106" s="136">
        <f t="shared" si="14"/>
        <v>32808</v>
      </c>
      <c r="D106" s="136">
        <v>16404</v>
      </c>
      <c r="E106" s="131"/>
      <c r="F106" s="132">
        <f>D106*100%</f>
        <v>16404</v>
      </c>
      <c r="G106" s="133">
        <f t="shared" si="15"/>
        <v>393696</v>
      </c>
    </row>
    <row r="107" spans="1:8" ht="31.5" x14ac:dyDescent="0.25">
      <c r="A107" s="145" t="s">
        <v>336</v>
      </c>
      <c r="B107" s="135">
        <v>2</v>
      </c>
      <c r="C107" s="136">
        <f t="shared" si="14"/>
        <v>23263.200000000001</v>
      </c>
      <c r="D107" s="136">
        <v>12924</v>
      </c>
      <c r="E107" s="131"/>
      <c r="F107" s="132">
        <f>D107*80%</f>
        <v>10339.200000000001</v>
      </c>
      <c r="G107" s="133">
        <f t="shared" si="15"/>
        <v>558316.80000000005</v>
      </c>
      <c r="H107" s="50"/>
    </row>
    <row r="108" spans="1:8" ht="18" customHeight="1" x14ac:dyDescent="0.25">
      <c r="A108" s="145" t="s">
        <v>327</v>
      </c>
      <c r="B108" s="135">
        <v>2</v>
      </c>
      <c r="C108" s="136">
        <f t="shared" si="14"/>
        <v>23263.200000000001</v>
      </c>
      <c r="D108" s="136">
        <v>12924</v>
      </c>
      <c r="E108" s="131"/>
      <c r="F108" s="132">
        <f>D108*80%</f>
        <v>10339.200000000001</v>
      </c>
      <c r="G108" s="133">
        <f t="shared" si="15"/>
        <v>558316.80000000005</v>
      </c>
    </row>
    <row r="109" spans="1:8" ht="15.75" x14ac:dyDescent="0.25">
      <c r="A109" s="145" t="s">
        <v>328</v>
      </c>
      <c r="B109" s="135">
        <v>8</v>
      </c>
      <c r="C109" s="136">
        <f t="shared" si="14"/>
        <v>21090</v>
      </c>
      <c r="D109" s="136">
        <v>11100</v>
      </c>
      <c r="E109" s="131"/>
      <c r="F109" s="132">
        <f>D109*90%</f>
        <v>9990</v>
      </c>
      <c r="G109" s="133">
        <f t="shared" si="15"/>
        <v>2024640</v>
      </c>
    </row>
    <row r="110" spans="1:8" ht="31.5" x14ac:dyDescent="0.25">
      <c r="A110" s="134" t="s">
        <v>329</v>
      </c>
      <c r="B110" s="135">
        <v>2</v>
      </c>
      <c r="C110" s="136">
        <f t="shared" si="14"/>
        <v>21090</v>
      </c>
      <c r="D110" s="136">
        <v>11100</v>
      </c>
      <c r="E110" s="131"/>
      <c r="F110" s="132">
        <f>D110*90%</f>
        <v>9990</v>
      </c>
      <c r="G110" s="133">
        <f t="shared" si="15"/>
        <v>506160</v>
      </c>
    </row>
    <row r="111" spans="1:8" ht="18" customHeight="1" x14ac:dyDescent="0.25">
      <c r="A111" s="150" t="s">
        <v>330</v>
      </c>
      <c r="B111" s="151">
        <v>1</v>
      </c>
      <c r="C111" s="136">
        <f t="shared" si="14"/>
        <v>31022.400000000001</v>
      </c>
      <c r="D111" s="152">
        <v>13488</v>
      </c>
      <c r="E111" s="131"/>
      <c r="F111" s="132">
        <f>D111*130%</f>
        <v>17534.400000000001</v>
      </c>
      <c r="G111" s="133">
        <f t="shared" si="15"/>
        <v>372268.80000000005</v>
      </c>
    </row>
    <row r="112" spans="1:8" ht="18" customHeight="1" thickBot="1" x14ac:dyDescent="0.3">
      <c r="A112" s="153" t="s">
        <v>312</v>
      </c>
      <c r="B112" s="154">
        <f>SUM(B105:B111)</f>
        <v>17</v>
      </c>
      <c r="C112" s="155">
        <f>SUM(C105:C111)</f>
        <v>186064.8</v>
      </c>
      <c r="D112" s="155">
        <f>SUM(D105:D111)</f>
        <v>94704</v>
      </c>
      <c r="E112" s="155"/>
      <c r="F112" s="156">
        <f>SUM(F105:F111)</f>
        <v>91360.799999999988</v>
      </c>
      <c r="G112" s="157">
        <f>SUM(G105:G111)</f>
        <v>4815734.3999999994</v>
      </c>
    </row>
    <row r="113" spans="1:9" ht="16.5" thickBot="1" x14ac:dyDescent="0.3">
      <c r="A113" s="158" t="s">
        <v>364</v>
      </c>
      <c r="B113" s="159">
        <f>B112+B103+B98+B86+B80</f>
        <v>64</v>
      </c>
      <c r="C113" s="160">
        <f>C112+C103+C98+C86+C80</f>
        <v>1049434.5074999998</v>
      </c>
      <c r="D113" s="160">
        <f>D112+D103+D98+D86+D80</f>
        <v>459612</v>
      </c>
      <c r="E113" s="161"/>
      <c r="F113" s="160">
        <f>F112+F103+F98+F86+F80</f>
        <v>589822.50749999995</v>
      </c>
      <c r="G113" s="160">
        <f>G112+G103+G98+G86+G80</f>
        <v>23179633.289999999</v>
      </c>
    </row>
    <row r="114" spans="1:9" ht="18" customHeight="1" thickBot="1" x14ac:dyDescent="0.3">
      <c r="A114" s="158" t="s">
        <v>365</v>
      </c>
      <c r="B114" s="159">
        <f>B113+B71</f>
        <v>131</v>
      </c>
      <c r="C114" s="161">
        <f>C113+C71</f>
        <v>2307942.2474999996</v>
      </c>
      <c r="D114" s="161">
        <f>D113+D71</f>
        <v>998944</v>
      </c>
      <c r="E114" s="161"/>
      <c r="F114" s="161">
        <f>F113+F71</f>
        <v>1308998.2475000001</v>
      </c>
      <c r="G114" s="161">
        <f>'гос.зад на 2022 год '!E26+'гос.зад на 2022 год '!E65</f>
        <v>48079716.570000008</v>
      </c>
      <c r="H114" s="50">
        <f>G71+G113</f>
        <v>48079716.57</v>
      </c>
      <c r="I114" s="50">
        <f>G114-H114</f>
        <v>0</v>
      </c>
    </row>
    <row r="115" spans="1:9" ht="18" customHeight="1" x14ac:dyDescent="0.25">
      <c r="A115" s="166"/>
      <c r="B115" s="167"/>
      <c r="C115" s="168"/>
      <c r="D115" s="168"/>
      <c r="E115" s="168"/>
      <c r="F115" s="168"/>
      <c r="G115" s="168"/>
    </row>
    <row r="116" spans="1:9" ht="35.25" customHeight="1" x14ac:dyDescent="0.25">
      <c r="A116" s="289" t="s">
        <v>343</v>
      </c>
      <c r="B116" s="289"/>
      <c r="C116" s="289"/>
      <c r="D116" s="289"/>
      <c r="E116" s="289"/>
      <c r="F116" s="289"/>
      <c r="G116" s="289"/>
    </row>
    <row r="117" spans="1:9" ht="18.75" x14ac:dyDescent="0.3">
      <c r="A117" s="9"/>
      <c r="B117" s="10"/>
    </row>
    <row r="118" spans="1:9" ht="18.75" x14ac:dyDescent="0.25">
      <c r="A118" s="274" t="s">
        <v>180</v>
      </c>
      <c r="B118" s="274"/>
      <c r="C118" s="274"/>
      <c r="D118" s="274"/>
      <c r="E118" s="274"/>
      <c r="F118" s="274"/>
      <c r="G118" s="274"/>
    </row>
    <row r="119" spans="1:9" ht="18.75" x14ac:dyDescent="0.25">
      <c r="A119" s="125"/>
      <c r="B119" s="125"/>
      <c r="C119" s="125"/>
      <c r="D119" s="125"/>
      <c r="E119" s="125"/>
      <c r="F119" s="125"/>
      <c r="G119" s="125"/>
    </row>
    <row r="120" spans="1:9" ht="18.75" x14ac:dyDescent="0.3">
      <c r="A120" s="9" t="s">
        <v>145</v>
      </c>
      <c r="B120" s="10" t="s">
        <v>370</v>
      </c>
    </row>
    <row r="121" spans="1:9" x14ac:dyDescent="0.25">
      <c r="A121" s="11"/>
    </row>
    <row r="122" spans="1:9" x14ac:dyDescent="0.25">
      <c r="A122" s="275" t="s">
        <v>84</v>
      </c>
      <c r="B122" s="275" t="s">
        <v>244</v>
      </c>
      <c r="C122" s="275"/>
      <c r="D122" s="275" t="s">
        <v>185</v>
      </c>
      <c r="E122" s="275"/>
      <c r="F122" s="275" t="s">
        <v>85</v>
      </c>
      <c r="G122" s="275"/>
    </row>
    <row r="123" spans="1:9" ht="22.5" customHeight="1" x14ac:dyDescent="0.25">
      <c r="A123" s="275"/>
      <c r="B123" s="275"/>
      <c r="C123" s="275"/>
      <c r="D123" s="275"/>
      <c r="E123" s="275"/>
      <c r="F123" s="275"/>
      <c r="G123" s="275"/>
    </row>
    <row r="124" spans="1:9" ht="18.75" x14ac:dyDescent="0.25">
      <c r="A124" s="124">
        <v>1</v>
      </c>
      <c r="B124" s="275">
        <v>2</v>
      </c>
      <c r="C124" s="275"/>
      <c r="D124" s="275">
        <v>3</v>
      </c>
      <c r="E124" s="275"/>
      <c r="F124" s="275">
        <v>4</v>
      </c>
      <c r="G124" s="275"/>
    </row>
    <row r="125" spans="1:9" ht="37.5" customHeight="1" x14ac:dyDescent="0.25">
      <c r="A125" s="164">
        <v>131</v>
      </c>
      <c r="B125" s="281">
        <f>'гос.зад на 2022 год '!D26+'гос.зад на 2022 год '!D28+'гос.зад на 2022 год '!D65</f>
        <v>62645159.70000001</v>
      </c>
      <c r="C125" s="281"/>
      <c r="D125" s="281">
        <f>G114</f>
        <v>48079716.570000008</v>
      </c>
      <c r="E125" s="281"/>
      <c r="F125" s="281">
        <f>B125-D125</f>
        <v>14565443.130000003</v>
      </c>
      <c r="G125" s="281"/>
    </row>
    <row r="126" spans="1:9" ht="18.75" x14ac:dyDescent="0.25">
      <c r="A126" s="8"/>
    </row>
    <row r="127" spans="1:9" ht="35.25" customHeight="1" x14ac:dyDescent="0.25">
      <c r="A127" s="282" t="s">
        <v>203</v>
      </c>
      <c r="B127" s="282"/>
      <c r="C127" s="282"/>
      <c r="D127" s="282"/>
      <c r="E127" s="282"/>
      <c r="F127" s="282"/>
      <c r="G127" s="282"/>
    </row>
    <row r="128" spans="1:9" ht="18.75" x14ac:dyDescent="0.25">
      <c r="A128" s="9"/>
    </row>
    <row r="129" spans="1:7" ht="18.75" x14ac:dyDescent="0.3">
      <c r="A129" s="9" t="s">
        <v>147</v>
      </c>
      <c r="B129" s="10">
        <v>112</v>
      </c>
    </row>
    <row r="130" spans="1:7" x14ac:dyDescent="0.25">
      <c r="A130" s="11"/>
    </row>
    <row r="131" spans="1:7" ht="56.25" x14ac:dyDescent="0.25">
      <c r="A131" s="124" t="s">
        <v>86</v>
      </c>
      <c r="B131" s="124" t="s">
        <v>87</v>
      </c>
      <c r="C131" s="275" t="s">
        <v>88</v>
      </c>
      <c r="D131" s="275"/>
      <c r="E131" s="124" t="s">
        <v>89</v>
      </c>
      <c r="F131" s="275" t="s">
        <v>90</v>
      </c>
      <c r="G131" s="275"/>
    </row>
    <row r="132" spans="1:7" ht="18.75" x14ac:dyDescent="0.25">
      <c r="A132" s="124">
        <v>1</v>
      </c>
      <c r="B132" s="124">
        <v>2</v>
      </c>
      <c r="C132" s="275">
        <v>3</v>
      </c>
      <c r="D132" s="275"/>
      <c r="E132" s="124">
        <v>4</v>
      </c>
      <c r="F132" s="275">
        <v>5</v>
      </c>
      <c r="G132" s="275"/>
    </row>
    <row r="133" spans="1:7" ht="18.75" x14ac:dyDescent="0.25">
      <c r="A133" s="13" t="s">
        <v>91</v>
      </c>
      <c r="B133" s="163">
        <v>3</v>
      </c>
      <c r="C133" s="281">
        <v>288.33</v>
      </c>
      <c r="D133" s="281"/>
      <c r="E133" s="163">
        <v>20</v>
      </c>
      <c r="F133" s="281">
        <f>'гос.зад на 2022 год '!D27</f>
        <v>17300</v>
      </c>
      <c r="G133" s="281"/>
    </row>
    <row r="134" spans="1:7" ht="18.75" x14ac:dyDescent="0.25">
      <c r="A134" s="8"/>
    </row>
    <row r="135" spans="1:7" ht="18.75" x14ac:dyDescent="0.25">
      <c r="A135" s="282" t="s">
        <v>205</v>
      </c>
      <c r="B135" s="282"/>
      <c r="C135" s="282"/>
      <c r="D135" s="282"/>
      <c r="E135" s="282"/>
      <c r="F135" s="282"/>
      <c r="G135" s="282"/>
    </row>
    <row r="136" spans="1:7" ht="18.75" x14ac:dyDescent="0.25">
      <c r="A136" s="174"/>
      <c r="B136" s="174"/>
      <c r="C136" s="174"/>
      <c r="D136" s="174"/>
      <c r="E136" s="174"/>
      <c r="F136" s="174"/>
      <c r="G136" s="174"/>
    </row>
    <row r="137" spans="1:7" ht="18.75" x14ac:dyDescent="0.3">
      <c r="A137" s="9" t="s">
        <v>147</v>
      </c>
      <c r="B137" s="10">
        <v>112</v>
      </c>
    </row>
    <row r="138" spans="1:7" x14ac:dyDescent="0.25">
      <c r="A138" s="11"/>
    </row>
    <row r="139" spans="1:7" ht="56.25" x14ac:dyDescent="0.25">
      <c r="A139" s="175" t="s">
        <v>86</v>
      </c>
      <c r="B139" s="175" t="s">
        <v>87</v>
      </c>
      <c r="C139" s="275" t="s">
        <v>88</v>
      </c>
      <c r="D139" s="275"/>
      <c r="E139" s="175" t="s">
        <v>89</v>
      </c>
      <c r="F139" s="275" t="s">
        <v>90</v>
      </c>
      <c r="G139" s="275"/>
    </row>
    <row r="140" spans="1:7" ht="18.75" x14ac:dyDescent="0.25">
      <c r="A140" s="175">
        <v>1</v>
      </c>
      <c r="B140" s="175">
        <v>2</v>
      </c>
      <c r="C140" s="275">
        <v>3</v>
      </c>
      <c r="D140" s="275"/>
      <c r="E140" s="175">
        <v>4</v>
      </c>
      <c r="F140" s="275">
        <v>5</v>
      </c>
      <c r="G140" s="275"/>
    </row>
    <row r="141" spans="1:7" ht="18.75" x14ac:dyDescent="0.25">
      <c r="A141" s="13" t="s">
        <v>95</v>
      </c>
      <c r="B141" s="175">
        <v>3</v>
      </c>
      <c r="C141" s="281">
        <v>1333.33</v>
      </c>
      <c r="D141" s="281"/>
      <c r="E141" s="175">
        <v>20</v>
      </c>
      <c r="F141" s="281">
        <f>'гос.зад на 2022 год '!E54</f>
        <v>80000</v>
      </c>
      <c r="G141" s="281"/>
    </row>
    <row r="142" spans="1:7" ht="18.75" x14ac:dyDescent="0.25">
      <c r="A142" s="15"/>
      <c r="B142" s="16"/>
      <c r="C142" s="19"/>
      <c r="D142" s="19"/>
      <c r="E142" s="20"/>
      <c r="F142" s="82"/>
      <c r="G142" s="82"/>
    </row>
    <row r="143" spans="1:7" ht="36.75" customHeight="1" x14ac:dyDescent="0.25">
      <c r="A143" s="282" t="s">
        <v>207</v>
      </c>
      <c r="B143" s="282"/>
      <c r="C143" s="282"/>
      <c r="D143" s="282"/>
      <c r="E143" s="282"/>
      <c r="F143" s="282"/>
      <c r="G143" s="282"/>
    </row>
    <row r="144" spans="1:7" ht="18.75" x14ac:dyDescent="0.25">
      <c r="A144" s="126"/>
      <c r="B144" s="126"/>
      <c r="C144" s="126"/>
      <c r="D144" s="126"/>
      <c r="E144" s="126"/>
      <c r="F144" s="126"/>
      <c r="G144" s="126"/>
    </row>
    <row r="145" spans="1:7" ht="18.75" x14ac:dyDescent="0.3">
      <c r="A145" s="9" t="s">
        <v>145</v>
      </c>
      <c r="B145" s="10">
        <v>111</v>
      </c>
    </row>
    <row r="146" spans="1:7" x14ac:dyDescent="0.25">
      <c r="A146" s="11"/>
    </row>
    <row r="147" spans="1:7" ht="38.25" customHeight="1" x14ac:dyDescent="0.25">
      <c r="A147" s="124" t="s">
        <v>86</v>
      </c>
      <c r="B147" s="257" t="s">
        <v>99</v>
      </c>
      <c r="C147" s="258"/>
      <c r="D147" s="257" t="s">
        <v>100</v>
      </c>
      <c r="E147" s="258"/>
      <c r="F147" s="257" t="s">
        <v>101</v>
      </c>
      <c r="G147" s="258"/>
    </row>
    <row r="148" spans="1:7" ht="18.75" x14ac:dyDescent="0.3">
      <c r="A148" s="124">
        <v>1</v>
      </c>
      <c r="B148" s="257">
        <v>2</v>
      </c>
      <c r="C148" s="258"/>
      <c r="D148" s="257">
        <v>3</v>
      </c>
      <c r="E148" s="258"/>
      <c r="F148" s="248">
        <v>4</v>
      </c>
      <c r="G148" s="249"/>
    </row>
    <row r="149" spans="1:7" ht="56.25" x14ac:dyDescent="0.25">
      <c r="A149" s="13" t="s">
        <v>102</v>
      </c>
      <c r="B149" s="257">
        <v>50</v>
      </c>
      <c r="C149" s="258"/>
      <c r="D149" s="257">
        <v>6000</v>
      </c>
      <c r="E149" s="258"/>
      <c r="F149" s="299">
        <f>'гос.зад на 2022 год '!D66</f>
        <v>300000</v>
      </c>
      <c r="G149" s="300"/>
    </row>
    <row r="150" spans="1:7" ht="18.75" x14ac:dyDescent="0.25">
      <c r="A150" s="15"/>
      <c r="B150" s="19"/>
      <c r="C150" s="19"/>
      <c r="D150" s="19"/>
      <c r="E150" s="19"/>
      <c r="F150" s="185"/>
      <c r="G150" s="185"/>
    </row>
    <row r="151" spans="1:7" ht="18.75" x14ac:dyDescent="0.25">
      <c r="A151" s="274" t="s">
        <v>502</v>
      </c>
      <c r="B151" s="274"/>
      <c r="C151" s="274"/>
      <c r="D151" s="274"/>
      <c r="E151" s="274"/>
      <c r="F151" s="274"/>
      <c r="G151" s="274"/>
    </row>
    <row r="152" spans="1:7" ht="15.75" x14ac:dyDescent="0.25">
      <c r="A152" s="18"/>
    </row>
    <row r="153" spans="1:7" ht="18.75" x14ac:dyDescent="0.3">
      <c r="A153" s="9" t="s">
        <v>147</v>
      </c>
      <c r="B153" s="10">
        <v>321</v>
      </c>
    </row>
    <row r="154" spans="1:7" x14ac:dyDescent="0.25">
      <c r="A154" s="11"/>
    </row>
    <row r="155" spans="1:7" ht="57.6" customHeight="1" x14ac:dyDescent="0.25">
      <c r="A155" s="179" t="s">
        <v>86</v>
      </c>
      <c r="B155" s="275" t="s">
        <v>106</v>
      </c>
      <c r="C155" s="275"/>
      <c r="D155" s="275" t="s">
        <v>107</v>
      </c>
      <c r="E155" s="275"/>
      <c r="F155" s="275" t="s">
        <v>108</v>
      </c>
      <c r="G155" s="275"/>
    </row>
    <row r="156" spans="1:7" ht="18.75" x14ac:dyDescent="0.25">
      <c r="A156" s="179">
        <v>1</v>
      </c>
      <c r="B156" s="257">
        <v>2</v>
      </c>
      <c r="C156" s="258"/>
      <c r="D156" s="257">
        <v>3</v>
      </c>
      <c r="E156" s="258"/>
      <c r="F156" s="257">
        <v>4</v>
      </c>
      <c r="G156" s="258"/>
    </row>
    <row r="157" spans="1:7" ht="93.75" x14ac:dyDescent="0.25">
      <c r="A157" s="13" t="s">
        <v>27</v>
      </c>
      <c r="B157" s="275"/>
      <c r="C157" s="275"/>
      <c r="D157" s="275"/>
      <c r="E157" s="275"/>
      <c r="F157" s="281">
        <f>'гос.зад на 2022 год '!E63</f>
        <v>0</v>
      </c>
      <c r="G157" s="281"/>
    </row>
    <row r="158" spans="1:7" ht="18.75" x14ac:dyDescent="0.25">
      <c r="A158" s="15"/>
      <c r="B158" s="16"/>
      <c r="C158" s="16"/>
      <c r="D158" s="16"/>
      <c r="E158" s="16"/>
      <c r="F158" s="17"/>
      <c r="G158" s="17"/>
    </row>
    <row r="159" spans="1:7" ht="18.75" x14ac:dyDescent="0.25">
      <c r="A159" s="282" t="s">
        <v>226</v>
      </c>
      <c r="B159" s="282"/>
      <c r="C159" s="282"/>
      <c r="D159" s="282"/>
      <c r="E159" s="282"/>
      <c r="F159" s="282"/>
      <c r="G159" s="282"/>
    </row>
    <row r="160" spans="1:7" ht="18.75" x14ac:dyDescent="0.3">
      <c r="A160" s="9" t="s">
        <v>145</v>
      </c>
      <c r="B160" s="10">
        <v>851</v>
      </c>
    </row>
    <row r="161" spans="1:9" x14ac:dyDescent="0.25">
      <c r="A161" s="11"/>
    </row>
    <row r="162" spans="1:9" ht="18.75" x14ac:dyDescent="0.25">
      <c r="A162" s="106" t="s">
        <v>86</v>
      </c>
      <c r="B162" s="275" t="s">
        <v>109</v>
      </c>
      <c r="C162" s="275"/>
      <c r="D162" s="275" t="s">
        <v>110</v>
      </c>
      <c r="E162" s="275"/>
      <c r="F162" s="275" t="s">
        <v>111</v>
      </c>
      <c r="G162" s="275"/>
    </row>
    <row r="163" spans="1:9" ht="18.75" x14ac:dyDescent="0.25">
      <c r="A163" s="106">
        <v>1</v>
      </c>
      <c r="B163" s="257">
        <v>2</v>
      </c>
      <c r="C163" s="258"/>
      <c r="D163" s="287">
        <v>3</v>
      </c>
      <c r="E163" s="288"/>
      <c r="F163" s="287">
        <v>4</v>
      </c>
      <c r="G163" s="288"/>
    </row>
    <row r="164" spans="1:9" ht="18.75" x14ac:dyDescent="0.25">
      <c r="A164" s="13" t="s">
        <v>112</v>
      </c>
      <c r="B164" s="255">
        <v>340755364.08999997</v>
      </c>
      <c r="C164" s="256"/>
      <c r="D164" s="277">
        <v>2.2000000000000002</v>
      </c>
      <c r="E164" s="278"/>
      <c r="F164" s="277">
        <f>'гос.зад на 2022 год '!D73</f>
        <v>9740613.9999999981</v>
      </c>
      <c r="G164" s="278"/>
      <c r="H164" s="50"/>
      <c r="I164" s="50"/>
    </row>
    <row r="165" spans="1:9" ht="18.75" x14ac:dyDescent="0.25">
      <c r="A165" s="13" t="s">
        <v>113</v>
      </c>
      <c r="B165" s="255">
        <v>149599732.55000001</v>
      </c>
      <c r="C165" s="256"/>
      <c r="D165" s="255">
        <v>1.5</v>
      </c>
      <c r="E165" s="256"/>
      <c r="F165" s="279"/>
      <c r="G165" s="280"/>
      <c r="H165" s="50"/>
    </row>
    <row r="166" spans="1:9" ht="18.75" x14ac:dyDescent="0.25">
      <c r="A166" s="15"/>
      <c r="B166" s="16"/>
      <c r="C166" s="19"/>
      <c r="D166" s="20"/>
      <c r="E166" s="21"/>
      <c r="F166" s="21"/>
      <c r="G166" s="21"/>
    </row>
    <row r="167" spans="1:9" ht="18.75" x14ac:dyDescent="0.25">
      <c r="A167" s="9" t="s">
        <v>114</v>
      </c>
    </row>
    <row r="168" spans="1:9" x14ac:dyDescent="0.25">
      <c r="A168" s="11"/>
    </row>
    <row r="169" spans="1:9" ht="36" customHeight="1" x14ac:dyDescent="0.25">
      <c r="A169" s="106" t="s">
        <v>86</v>
      </c>
      <c r="B169" s="275" t="s">
        <v>109</v>
      </c>
      <c r="C169" s="275"/>
      <c r="D169" s="275" t="s">
        <v>110</v>
      </c>
      <c r="E169" s="275"/>
      <c r="F169" s="275" t="s">
        <v>115</v>
      </c>
      <c r="G169" s="275"/>
    </row>
    <row r="170" spans="1:9" ht="18.75" x14ac:dyDescent="0.3">
      <c r="A170" s="106">
        <v>1</v>
      </c>
      <c r="B170" s="257">
        <v>2</v>
      </c>
      <c r="C170" s="258"/>
      <c r="D170" s="257">
        <v>3</v>
      </c>
      <c r="E170" s="258"/>
      <c r="F170" s="248">
        <v>4</v>
      </c>
      <c r="G170" s="249"/>
    </row>
    <row r="171" spans="1:9" ht="18.75" x14ac:dyDescent="0.25">
      <c r="A171" s="13" t="s">
        <v>116</v>
      </c>
      <c r="B171" s="257" t="s">
        <v>117</v>
      </c>
      <c r="C171" s="258"/>
      <c r="D171" s="257" t="s">
        <v>117</v>
      </c>
      <c r="E171" s="258"/>
      <c r="F171" s="299">
        <f>'гос.зад на 2022 год '!D74</f>
        <v>6850</v>
      </c>
      <c r="G171" s="301"/>
    </row>
    <row r="172" spans="1:9" ht="18.75" x14ac:dyDescent="0.25">
      <c r="A172" s="9"/>
    </row>
    <row r="173" spans="1:9" ht="18.75" x14ac:dyDescent="0.25">
      <c r="A173" s="9" t="s">
        <v>119</v>
      </c>
    </row>
    <row r="174" spans="1:9" x14ac:dyDescent="0.25">
      <c r="A174" s="11"/>
    </row>
    <row r="175" spans="1:9" ht="18.75" x14ac:dyDescent="0.25">
      <c r="A175" s="106" t="s">
        <v>86</v>
      </c>
      <c r="B175" s="275" t="s">
        <v>109</v>
      </c>
      <c r="C175" s="275"/>
      <c r="D175" s="275" t="s">
        <v>110</v>
      </c>
      <c r="E175" s="275"/>
      <c r="F175" s="275" t="s">
        <v>115</v>
      </c>
      <c r="G175" s="275"/>
    </row>
    <row r="176" spans="1:9" ht="18.75" x14ac:dyDescent="0.3">
      <c r="A176" s="106">
        <v>1</v>
      </c>
      <c r="B176" s="257">
        <v>2</v>
      </c>
      <c r="C176" s="258"/>
      <c r="D176" s="257">
        <v>3</v>
      </c>
      <c r="E176" s="258"/>
      <c r="F176" s="248">
        <v>4</v>
      </c>
      <c r="G176" s="249"/>
    </row>
    <row r="177" spans="1:7" ht="37.5" x14ac:dyDescent="0.25">
      <c r="A177" s="13" t="s">
        <v>155</v>
      </c>
      <c r="B177" s="257" t="s">
        <v>117</v>
      </c>
      <c r="C177" s="258"/>
      <c r="D177" s="257" t="s">
        <v>117</v>
      </c>
      <c r="E177" s="258"/>
      <c r="F177" s="299">
        <f>'гос.зад на 2022 год '!D75</f>
        <v>0</v>
      </c>
      <c r="G177" s="300"/>
    </row>
    <row r="178" spans="1:7" ht="18.75" x14ac:dyDescent="0.25">
      <c r="A178" s="8"/>
    </row>
    <row r="179" spans="1:7" ht="18.75" x14ac:dyDescent="0.25">
      <c r="A179" s="274" t="s">
        <v>216</v>
      </c>
      <c r="B179" s="274"/>
      <c r="C179" s="274"/>
      <c r="D179" s="274"/>
      <c r="E179" s="274"/>
      <c r="F179" s="274"/>
      <c r="G179" s="274"/>
    </row>
    <row r="180" spans="1:7" ht="18.75" x14ac:dyDescent="0.25">
      <c r="A180" s="9"/>
    </row>
    <row r="181" spans="1:7" ht="18.75" x14ac:dyDescent="0.3">
      <c r="A181" s="9" t="s">
        <v>145</v>
      </c>
      <c r="B181" s="10">
        <v>244</v>
      </c>
    </row>
    <row r="182" spans="1:7" ht="18.75" x14ac:dyDescent="0.25">
      <c r="A182" s="8"/>
    </row>
    <row r="183" spans="1:7" ht="18.75" x14ac:dyDescent="0.25">
      <c r="A183" s="106" t="s">
        <v>86</v>
      </c>
      <c r="B183" s="275" t="s">
        <v>121</v>
      </c>
      <c r="C183" s="275"/>
      <c r="D183" s="275" t="s">
        <v>122</v>
      </c>
      <c r="E183" s="275"/>
      <c r="F183" s="275" t="s">
        <v>186</v>
      </c>
      <c r="G183" s="275"/>
    </row>
    <row r="184" spans="1:7" ht="18.75" x14ac:dyDescent="0.25">
      <c r="A184" s="106">
        <v>1</v>
      </c>
      <c r="B184" s="257">
        <v>2</v>
      </c>
      <c r="C184" s="258"/>
      <c r="D184" s="257">
        <v>3</v>
      </c>
      <c r="E184" s="258"/>
      <c r="F184" s="287">
        <v>4</v>
      </c>
      <c r="G184" s="288"/>
    </row>
    <row r="185" spans="1:7" ht="37.5" x14ac:dyDescent="0.25">
      <c r="A185" s="13" t="s">
        <v>371</v>
      </c>
      <c r="B185" s="257">
        <v>7</v>
      </c>
      <c r="C185" s="258"/>
      <c r="D185" s="255">
        <v>1363.80952</v>
      </c>
      <c r="E185" s="256"/>
      <c r="F185" s="255">
        <f>B185*D185*12</f>
        <v>114559.99967999999</v>
      </c>
      <c r="G185" s="256"/>
    </row>
    <row r="186" spans="1:7" ht="37.5" x14ac:dyDescent="0.25">
      <c r="A186" s="13" t="s">
        <v>372</v>
      </c>
      <c r="B186" s="257">
        <v>6</v>
      </c>
      <c r="C186" s="258"/>
      <c r="D186" s="255">
        <v>1395</v>
      </c>
      <c r="E186" s="256"/>
      <c r="F186" s="255">
        <v>100440</v>
      </c>
      <c r="G186" s="256"/>
    </row>
    <row r="187" spans="1:7" ht="18.75" x14ac:dyDescent="0.25">
      <c r="A187" s="13" t="s">
        <v>428</v>
      </c>
      <c r="B187" s="257" t="s">
        <v>117</v>
      </c>
      <c r="C187" s="258"/>
      <c r="D187" s="257" t="s">
        <v>117</v>
      </c>
      <c r="E187" s="258"/>
      <c r="F187" s="255">
        <v>2000</v>
      </c>
      <c r="G187" s="256"/>
    </row>
    <row r="188" spans="1:7" ht="18.75" x14ac:dyDescent="0.25">
      <c r="A188" s="13" t="s">
        <v>424</v>
      </c>
      <c r="B188" s="257" t="s">
        <v>117</v>
      </c>
      <c r="C188" s="258"/>
      <c r="D188" s="257" t="s">
        <v>117</v>
      </c>
      <c r="E188" s="258"/>
      <c r="F188" s="255">
        <v>2000</v>
      </c>
      <c r="G188" s="256"/>
    </row>
    <row r="189" spans="1:7" ht="18.75" x14ac:dyDescent="0.25">
      <c r="A189" s="13" t="s">
        <v>373</v>
      </c>
      <c r="B189" s="306" t="s">
        <v>274</v>
      </c>
      <c r="C189" s="307"/>
      <c r="D189" s="277">
        <v>117488</v>
      </c>
      <c r="E189" s="278"/>
      <c r="F189" s="277">
        <f>F191-F185-F186-F187-F188</f>
        <v>1525793.3203199999</v>
      </c>
      <c r="G189" s="278"/>
    </row>
    <row r="190" spans="1:7" ht="18.75" x14ac:dyDescent="0.25">
      <c r="A190" s="13" t="s">
        <v>374</v>
      </c>
      <c r="B190" s="308"/>
      <c r="C190" s="309"/>
      <c r="D190" s="279"/>
      <c r="E190" s="280"/>
      <c r="F190" s="279"/>
      <c r="G190" s="280"/>
    </row>
    <row r="191" spans="1:7" ht="18.75" x14ac:dyDescent="0.25">
      <c r="A191" s="13" t="s">
        <v>344</v>
      </c>
      <c r="B191" s="287"/>
      <c r="C191" s="288"/>
      <c r="D191" s="287"/>
      <c r="E191" s="288"/>
      <c r="F191" s="302">
        <f>'гос.зад на 2022 год '!D34</f>
        <v>1744793.3199999998</v>
      </c>
      <c r="G191" s="303"/>
    </row>
    <row r="192" spans="1:7" x14ac:dyDescent="0.25">
      <c r="A192" s="23"/>
    </row>
    <row r="193" spans="1:7" ht="18.75" x14ac:dyDescent="0.25">
      <c r="A193" s="274" t="s">
        <v>217</v>
      </c>
      <c r="B193" s="274"/>
      <c r="C193" s="274"/>
      <c r="D193" s="274"/>
      <c r="E193" s="274"/>
      <c r="F193" s="274"/>
      <c r="G193" s="274"/>
    </row>
    <row r="194" spans="1:7" ht="18.75" x14ac:dyDescent="0.25">
      <c r="A194" s="9"/>
    </row>
    <row r="195" spans="1:7" ht="18.75" x14ac:dyDescent="0.3">
      <c r="A195" s="9" t="s">
        <v>145</v>
      </c>
      <c r="B195" s="10">
        <v>244</v>
      </c>
    </row>
    <row r="196" spans="1:7" ht="18.75" x14ac:dyDescent="0.25">
      <c r="A196" s="8"/>
    </row>
    <row r="197" spans="1:7" ht="18.75" x14ac:dyDescent="0.25">
      <c r="A197" s="175" t="s">
        <v>86</v>
      </c>
      <c r="B197" s="275" t="s">
        <v>125</v>
      </c>
      <c r="C197" s="275"/>
      <c r="D197" s="275" t="s">
        <v>93</v>
      </c>
      <c r="E197" s="275"/>
      <c r="F197" s="275" t="s">
        <v>186</v>
      </c>
      <c r="G197" s="275"/>
    </row>
    <row r="198" spans="1:7" ht="18.75" x14ac:dyDescent="0.25">
      <c r="A198" s="175">
        <v>1</v>
      </c>
      <c r="B198" s="257">
        <v>2</v>
      </c>
      <c r="C198" s="258"/>
      <c r="D198" s="257">
        <v>3</v>
      </c>
      <c r="E198" s="258"/>
      <c r="F198" s="257">
        <v>4</v>
      </c>
      <c r="G198" s="258"/>
    </row>
    <row r="199" spans="1:7" ht="18.75" x14ac:dyDescent="0.25">
      <c r="A199" s="13" t="s">
        <v>485</v>
      </c>
      <c r="B199" s="257">
        <v>1</v>
      </c>
      <c r="C199" s="258"/>
      <c r="D199" s="257">
        <v>4000</v>
      </c>
      <c r="E199" s="258"/>
      <c r="F199" s="255">
        <v>4000</v>
      </c>
      <c r="G199" s="256"/>
    </row>
    <row r="200" spans="1:7" ht="18.75" x14ac:dyDescent="0.25">
      <c r="A200" s="13" t="s">
        <v>344</v>
      </c>
      <c r="B200" s="257"/>
      <c r="C200" s="258"/>
      <c r="D200" s="257"/>
      <c r="E200" s="258"/>
      <c r="F200" s="255">
        <f>'гос.зад на 2022 год '!E37</f>
        <v>4000</v>
      </c>
      <c r="G200" s="256"/>
    </row>
    <row r="201" spans="1:7" x14ac:dyDescent="0.25">
      <c r="A201" s="23"/>
    </row>
    <row r="202" spans="1:7" ht="18.75" x14ac:dyDescent="0.25">
      <c r="A202" s="274" t="s">
        <v>218</v>
      </c>
      <c r="B202" s="274"/>
      <c r="C202" s="274"/>
      <c r="D202" s="274"/>
      <c r="E202" s="274"/>
      <c r="F202" s="274"/>
      <c r="G202" s="274"/>
    </row>
    <row r="203" spans="1:7" ht="18.75" x14ac:dyDescent="0.25">
      <c r="A203" s="9"/>
    </row>
    <row r="204" spans="1:7" ht="18.75" x14ac:dyDescent="0.3">
      <c r="A204" s="9" t="s">
        <v>145</v>
      </c>
      <c r="B204" s="186" t="s">
        <v>437</v>
      </c>
    </row>
    <row r="205" spans="1:7" ht="18.75" x14ac:dyDescent="0.25">
      <c r="A205" s="8"/>
    </row>
    <row r="206" spans="1:7" ht="18.75" x14ac:dyDescent="0.25">
      <c r="A206" s="106" t="s">
        <v>86</v>
      </c>
      <c r="B206" s="275" t="s">
        <v>126</v>
      </c>
      <c r="C206" s="275"/>
      <c r="D206" s="275" t="s">
        <v>127</v>
      </c>
      <c r="E206" s="275"/>
      <c r="F206" s="275" t="s">
        <v>94</v>
      </c>
      <c r="G206" s="275"/>
    </row>
    <row r="207" spans="1:7" ht="18.75" x14ac:dyDescent="0.25">
      <c r="A207" s="106">
        <v>1</v>
      </c>
      <c r="B207" s="257">
        <v>2</v>
      </c>
      <c r="C207" s="258"/>
      <c r="D207" s="257">
        <v>3</v>
      </c>
      <c r="E207" s="258"/>
      <c r="F207" s="257">
        <v>4</v>
      </c>
      <c r="G207" s="258"/>
    </row>
    <row r="208" spans="1:7" ht="37.5" x14ac:dyDescent="0.25">
      <c r="A208" s="13" t="s">
        <v>18</v>
      </c>
      <c r="B208" s="257" t="s">
        <v>117</v>
      </c>
      <c r="C208" s="258"/>
      <c r="D208" s="257" t="s">
        <v>117</v>
      </c>
      <c r="E208" s="258"/>
      <c r="F208" s="255">
        <f>'гос.зад на 2022 год '!D41</f>
        <v>0</v>
      </c>
      <c r="G208" s="256"/>
    </row>
    <row r="209" spans="1:9" ht="37.5" x14ac:dyDescent="0.25">
      <c r="A209" s="13" t="s">
        <v>429</v>
      </c>
      <c r="B209" s="257" t="s">
        <v>462</v>
      </c>
      <c r="C209" s="258"/>
      <c r="D209" s="257">
        <v>6082.89</v>
      </c>
      <c r="E209" s="258"/>
      <c r="F209" s="277">
        <f>'гос.зад на 2022 год '!D43</f>
        <v>2718701.82</v>
      </c>
      <c r="G209" s="278"/>
    </row>
    <row r="210" spans="1:9" ht="37.5" x14ac:dyDescent="0.25">
      <c r="A210" s="13" t="s">
        <v>430</v>
      </c>
      <c r="B210" s="257" t="s">
        <v>440</v>
      </c>
      <c r="C210" s="258"/>
      <c r="D210" s="257">
        <v>7300</v>
      </c>
      <c r="E210" s="258"/>
      <c r="F210" s="279"/>
      <c r="G210" s="280"/>
    </row>
    <row r="211" spans="1:9" ht="56.25" x14ac:dyDescent="0.25">
      <c r="A211" s="13" t="s">
        <v>375</v>
      </c>
      <c r="B211" s="257" t="s">
        <v>377</v>
      </c>
      <c r="C211" s="258"/>
      <c r="D211" s="257">
        <v>5.39</v>
      </c>
      <c r="E211" s="258"/>
      <c r="F211" s="277">
        <f>'гос.зад на 2022 год '!D45</f>
        <v>18009145.140000001</v>
      </c>
      <c r="G211" s="278"/>
    </row>
    <row r="212" spans="1:9" ht="56.25" x14ac:dyDescent="0.25">
      <c r="A212" s="13" t="s">
        <v>376</v>
      </c>
      <c r="B212" s="257" t="s">
        <v>463</v>
      </c>
      <c r="C212" s="258"/>
      <c r="D212" s="257">
        <v>1112.71</v>
      </c>
      <c r="E212" s="258"/>
      <c r="F212" s="304"/>
      <c r="G212" s="305"/>
    </row>
    <row r="213" spans="1:9" ht="56.25" x14ac:dyDescent="0.25">
      <c r="A213" s="13" t="s">
        <v>378</v>
      </c>
      <c r="B213" s="257" t="s">
        <v>487</v>
      </c>
      <c r="C213" s="258"/>
      <c r="D213" s="257">
        <v>63.04</v>
      </c>
      <c r="E213" s="258"/>
      <c r="F213" s="277">
        <f>'гос.зад на 2022 год '!D46</f>
        <v>522038.00000000023</v>
      </c>
      <c r="G213" s="278"/>
    </row>
    <row r="214" spans="1:9" ht="56.25" x14ac:dyDescent="0.25">
      <c r="A214" s="13" t="s">
        <v>379</v>
      </c>
      <c r="B214" s="257" t="s">
        <v>486</v>
      </c>
      <c r="C214" s="258"/>
      <c r="D214" s="257">
        <v>98.8</v>
      </c>
      <c r="E214" s="258"/>
      <c r="F214" s="279"/>
      <c r="G214" s="280"/>
      <c r="I214" s="50"/>
    </row>
    <row r="215" spans="1:9" ht="56.25" x14ac:dyDescent="0.25">
      <c r="A215" s="24" t="s">
        <v>380</v>
      </c>
      <c r="B215" s="257" t="s">
        <v>464</v>
      </c>
      <c r="C215" s="258"/>
      <c r="D215" s="257">
        <v>654.73</v>
      </c>
      <c r="E215" s="258"/>
      <c r="F215" s="277">
        <f>'гос.зад на 2022 год '!D47</f>
        <v>161189.39999999997</v>
      </c>
      <c r="G215" s="278"/>
    </row>
    <row r="216" spans="1:9" ht="56.25" x14ac:dyDescent="0.25">
      <c r="A216" s="24" t="s">
        <v>381</v>
      </c>
      <c r="B216" s="257" t="s">
        <v>417</v>
      </c>
      <c r="C216" s="258"/>
      <c r="D216" s="257">
        <v>665</v>
      </c>
      <c r="E216" s="258"/>
      <c r="F216" s="279"/>
      <c r="G216" s="280"/>
    </row>
    <row r="217" spans="1:9" ht="33.75" customHeight="1" x14ac:dyDescent="0.25">
      <c r="A217" s="24" t="s">
        <v>312</v>
      </c>
      <c r="B217" s="257"/>
      <c r="C217" s="258"/>
      <c r="D217" s="257"/>
      <c r="E217" s="258"/>
      <c r="F217" s="255">
        <f>F208+F209+F211+F213+F215</f>
        <v>21411074.359999999</v>
      </c>
      <c r="G217" s="256"/>
    </row>
    <row r="218" spans="1:9" ht="18.75" x14ac:dyDescent="0.25">
      <c r="A218" s="27"/>
      <c r="B218" s="26"/>
      <c r="C218" s="26"/>
      <c r="D218" s="26"/>
      <c r="E218" s="26"/>
      <c r="F218" s="26"/>
      <c r="G218" s="26"/>
    </row>
    <row r="219" spans="1:9" ht="18.75" x14ac:dyDescent="0.25">
      <c r="A219" s="276" t="s">
        <v>220</v>
      </c>
      <c r="B219" s="276"/>
      <c r="C219" s="276"/>
      <c r="D219" s="276"/>
      <c r="E219" s="276"/>
      <c r="F219" s="276"/>
      <c r="G219" s="276"/>
    </row>
    <row r="220" spans="1:9" ht="35.25" customHeight="1" x14ac:dyDescent="0.25">
      <c r="A220" s="165"/>
      <c r="B220" s="165"/>
      <c r="C220" s="165"/>
      <c r="D220" s="165"/>
      <c r="E220" s="165"/>
      <c r="F220" s="165"/>
      <c r="G220" s="165"/>
    </row>
    <row r="221" spans="1:9" ht="18.75" x14ac:dyDescent="0.3">
      <c r="A221" s="9" t="s">
        <v>145</v>
      </c>
      <c r="B221" s="10">
        <v>244</v>
      </c>
    </row>
    <row r="222" spans="1:9" ht="18.75" x14ac:dyDescent="0.25">
      <c r="A222" s="8"/>
    </row>
    <row r="223" spans="1:9" ht="18.75" x14ac:dyDescent="0.25">
      <c r="A223" s="275" t="s">
        <v>86</v>
      </c>
      <c r="B223" s="275"/>
      <c r="C223" s="275"/>
      <c r="D223" s="275" t="s">
        <v>131</v>
      </c>
      <c r="E223" s="275"/>
      <c r="F223" s="275" t="s">
        <v>132</v>
      </c>
      <c r="G223" s="275"/>
    </row>
    <row r="224" spans="1:9" ht="18.75" x14ac:dyDescent="0.3">
      <c r="A224" s="275">
        <v>1</v>
      </c>
      <c r="B224" s="275"/>
      <c r="C224" s="275"/>
      <c r="D224" s="248">
        <v>2</v>
      </c>
      <c r="E224" s="249"/>
      <c r="F224" s="248">
        <v>3</v>
      </c>
      <c r="G224" s="249"/>
    </row>
    <row r="225" spans="1:7" ht="18.75" x14ac:dyDescent="0.3">
      <c r="A225" s="252" t="s">
        <v>382</v>
      </c>
      <c r="B225" s="253"/>
      <c r="C225" s="254"/>
      <c r="D225" s="248"/>
      <c r="E225" s="249"/>
      <c r="F225" s="265"/>
      <c r="G225" s="267"/>
    </row>
    <row r="226" spans="1:7" ht="18.75" x14ac:dyDescent="0.3">
      <c r="A226" s="247" t="s">
        <v>275</v>
      </c>
      <c r="B226" s="247"/>
      <c r="C226" s="247"/>
      <c r="D226" s="248">
        <v>12</v>
      </c>
      <c r="E226" s="249"/>
      <c r="F226" s="250">
        <v>480000</v>
      </c>
      <c r="G226" s="251"/>
    </row>
    <row r="227" spans="1:7" ht="38.25" customHeight="1" x14ac:dyDescent="0.3">
      <c r="A227" s="247" t="s">
        <v>276</v>
      </c>
      <c r="B227" s="247"/>
      <c r="C227" s="247"/>
      <c r="D227" s="248">
        <v>12</v>
      </c>
      <c r="E227" s="249"/>
      <c r="F227" s="250">
        <v>432000</v>
      </c>
      <c r="G227" s="251"/>
    </row>
    <row r="228" spans="1:7" ht="38.25" customHeight="1" x14ac:dyDescent="0.3">
      <c r="A228" s="247" t="s">
        <v>277</v>
      </c>
      <c r="B228" s="247"/>
      <c r="C228" s="247"/>
      <c r="D228" s="248">
        <v>12</v>
      </c>
      <c r="E228" s="249"/>
      <c r="F228" s="250">
        <v>363000</v>
      </c>
      <c r="G228" s="251"/>
    </row>
    <row r="229" spans="1:7" ht="18.75" x14ac:dyDescent="0.3">
      <c r="A229" s="247" t="s">
        <v>278</v>
      </c>
      <c r="B229" s="247"/>
      <c r="C229" s="247"/>
      <c r="D229" s="248">
        <v>7</v>
      </c>
      <c r="E229" s="249"/>
      <c r="F229" s="250">
        <v>116930.88</v>
      </c>
      <c r="G229" s="251"/>
    </row>
    <row r="230" spans="1:7" ht="39.75" customHeight="1" x14ac:dyDescent="0.3">
      <c r="A230" s="247" t="s">
        <v>488</v>
      </c>
      <c r="B230" s="247"/>
      <c r="C230" s="247"/>
      <c r="D230" s="248">
        <v>12</v>
      </c>
      <c r="E230" s="249"/>
      <c r="F230" s="250">
        <v>303120</v>
      </c>
      <c r="G230" s="251"/>
    </row>
    <row r="231" spans="1:7" ht="18.75" x14ac:dyDescent="0.3">
      <c r="A231" s="247" t="s">
        <v>280</v>
      </c>
      <c r="B231" s="247"/>
      <c r="C231" s="247"/>
      <c r="D231" s="248">
        <v>12</v>
      </c>
      <c r="E231" s="249"/>
      <c r="F231" s="250">
        <v>6477.68</v>
      </c>
      <c r="G231" s="251"/>
    </row>
    <row r="232" spans="1:7" ht="18.75" x14ac:dyDescent="0.3">
      <c r="A232" s="247" t="s">
        <v>282</v>
      </c>
      <c r="B232" s="247"/>
      <c r="C232" s="247"/>
      <c r="D232" s="248">
        <v>12</v>
      </c>
      <c r="E232" s="249"/>
      <c r="F232" s="250">
        <f>180000</f>
        <v>180000</v>
      </c>
      <c r="G232" s="251"/>
    </row>
    <row r="233" spans="1:7" ht="42.75" customHeight="1" x14ac:dyDescent="0.3">
      <c r="A233" s="247" t="s">
        <v>283</v>
      </c>
      <c r="B233" s="247"/>
      <c r="C233" s="247"/>
      <c r="D233" s="248">
        <v>12</v>
      </c>
      <c r="E233" s="249"/>
      <c r="F233" s="250">
        <v>278400</v>
      </c>
      <c r="G233" s="251"/>
    </row>
    <row r="234" spans="1:7" ht="18.75" x14ac:dyDescent="0.3">
      <c r="A234" s="247" t="s">
        <v>284</v>
      </c>
      <c r="B234" s="247"/>
      <c r="C234" s="247"/>
      <c r="D234" s="248">
        <v>12</v>
      </c>
      <c r="E234" s="249"/>
      <c r="F234" s="250">
        <v>7063.64</v>
      </c>
      <c r="G234" s="251"/>
    </row>
    <row r="235" spans="1:7" ht="18.75" x14ac:dyDescent="0.3">
      <c r="A235" s="247" t="s">
        <v>136</v>
      </c>
      <c r="B235" s="247"/>
      <c r="C235" s="247"/>
      <c r="D235" s="248">
        <v>2</v>
      </c>
      <c r="E235" s="249"/>
      <c r="F235" s="250">
        <v>120000</v>
      </c>
      <c r="G235" s="251"/>
    </row>
    <row r="236" spans="1:7" ht="36.75" customHeight="1" x14ac:dyDescent="0.3">
      <c r="A236" s="247" t="s">
        <v>285</v>
      </c>
      <c r="B236" s="247"/>
      <c r="C236" s="247"/>
      <c r="D236" s="248">
        <v>12</v>
      </c>
      <c r="E236" s="249"/>
      <c r="F236" s="250">
        <v>16000</v>
      </c>
      <c r="G236" s="251"/>
    </row>
    <row r="237" spans="1:7" ht="18.75" x14ac:dyDescent="0.3">
      <c r="A237" s="247" t="s">
        <v>384</v>
      </c>
      <c r="B237" s="247"/>
      <c r="C237" s="247"/>
      <c r="D237" s="248">
        <v>12</v>
      </c>
      <c r="E237" s="249"/>
      <c r="F237" s="250">
        <v>103440</v>
      </c>
      <c r="G237" s="251"/>
    </row>
    <row r="238" spans="1:7" ht="18.75" x14ac:dyDescent="0.3">
      <c r="A238" s="247" t="s">
        <v>286</v>
      </c>
      <c r="B238" s="247"/>
      <c r="C238" s="247"/>
      <c r="D238" s="248">
        <v>12</v>
      </c>
      <c r="E238" s="249"/>
      <c r="F238" s="250">
        <v>3262500</v>
      </c>
      <c r="G238" s="251"/>
    </row>
    <row r="239" spans="1:7" ht="18.75" x14ac:dyDescent="0.3">
      <c r="A239" s="247" t="s">
        <v>287</v>
      </c>
      <c r="B239" s="247"/>
      <c r="C239" s="247"/>
      <c r="D239" s="248">
        <v>12</v>
      </c>
      <c r="E239" s="249"/>
      <c r="F239" s="250">
        <v>1799910</v>
      </c>
      <c r="G239" s="251"/>
    </row>
    <row r="240" spans="1:7" ht="18.75" x14ac:dyDescent="0.3">
      <c r="A240" s="247" t="s">
        <v>348</v>
      </c>
      <c r="B240" s="247"/>
      <c r="C240" s="247"/>
      <c r="D240" s="248">
        <v>12</v>
      </c>
      <c r="E240" s="249"/>
      <c r="F240" s="250">
        <v>9247575</v>
      </c>
      <c r="G240" s="251"/>
    </row>
    <row r="241" spans="1:7" ht="18.75" x14ac:dyDescent="0.3">
      <c r="A241" s="247" t="s">
        <v>349</v>
      </c>
      <c r="B241" s="247"/>
      <c r="C241" s="247"/>
      <c r="D241" s="248">
        <v>12</v>
      </c>
      <c r="E241" s="249"/>
      <c r="F241" s="250">
        <v>179000</v>
      </c>
      <c r="G241" s="251"/>
    </row>
    <row r="242" spans="1:7" ht="37.5" customHeight="1" x14ac:dyDescent="0.3">
      <c r="A242" s="247" t="s">
        <v>465</v>
      </c>
      <c r="B242" s="247"/>
      <c r="C242" s="247"/>
      <c r="D242" s="248">
        <v>12</v>
      </c>
      <c r="E242" s="249"/>
      <c r="F242" s="250">
        <v>665700</v>
      </c>
      <c r="G242" s="251"/>
    </row>
    <row r="243" spans="1:7" ht="37.5" customHeight="1" x14ac:dyDescent="0.3">
      <c r="A243" s="247" t="s">
        <v>490</v>
      </c>
      <c r="B243" s="247"/>
      <c r="C243" s="247"/>
      <c r="D243" s="248">
        <v>12</v>
      </c>
      <c r="E243" s="249"/>
      <c r="F243" s="250">
        <f>394800-16800</f>
        <v>378000</v>
      </c>
      <c r="G243" s="251"/>
    </row>
    <row r="244" spans="1:7" ht="18.75" x14ac:dyDescent="0.3">
      <c r="A244" s="247" t="s">
        <v>288</v>
      </c>
      <c r="B244" s="247"/>
      <c r="C244" s="247"/>
      <c r="D244" s="248">
        <v>12</v>
      </c>
      <c r="E244" s="249"/>
      <c r="F244" s="250">
        <v>10000</v>
      </c>
      <c r="G244" s="251"/>
    </row>
    <row r="245" spans="1:7" ht="18.75" x14ac:dyDescent="0.3">
      <c r="A245" s="247" t="s">
        <v>289</v>
      </c>
      <c r="B245" s="247"/>
      <c r="C245" s="247"/>
      <c r="D245" s="248">
        <v>1</v>
      </c>
      <c r="E245" s="249"/>
      <c r="F245" s="250">
        <v>529000</v>
      </c>
      <c r="G245" s="251"/>
    </row>
    <row r="246" spans="1:7" ht="18.75" x14ac:dyDescent="0.3">
      <c r="A246" s="247" t="s">
        <v>492</v>
      </c>
      <c r="B246" s="247"/>
      <c r="C246" s="247"/>
      <c r="D246" s="248">
        <v>1</v>
      </c>
      <c r="E246" s="249"/>
      <c r="F246" s="250">
        <v>30033.33</v>
      </c>
      <c r="G246" s="251"/>
    </row>
    <row r="247" spans="1:7" ht="18.75" x14ac:dyDescent="0.3">
      <c r="A247" s="247" t="s">
        <v>493</v>
      </c>
      <c r="B247" s="247"/>
      <c r="C247" s="247"/>
      <c r="D247" s="248">
        <v>1</v>
      </c>
      <c r="E247" s="249"/>
      <c r="F247" s="250">
        <v>130000</v>
      </c>
      <c r="G247" s="251"/>
    </row>
    <row r="248" spans="1:7" ht="18.75" x14ac:dyDescent="0.3">
      <c r="A248" s="247" t="s">
        <v>494</v>
      </c>
      <c r="B248" s="247"/>
      <c r="C248" s="247"/>
      <c r="D248" s="248">
        <v>1</v>
      </c>
      <c r="E248" s="249"/>
      <c r="F248" s="250">
        <v>170400</v>
      </c>
      <c r="G248" s="251"/>
    </row>
    <row r="249" spans="1:7" ht="18.75" x14ac:dyDescent="0.3">
      <c r="A249" s="247" t="s">
        <v>383</v>
      </c>
      <c r="B249" s="247"/>
      <c r="C249" s="247"/>
      <c r="D249" s="248"/>
      <c r="E249" s="249"/>
      <c r="F249" s="250"/>
      <c r="G249" s="251"/>
    </row>
    <row r="250" spans="1:7" ht="18.75" x14ac:dyDescent="0.3">
      <c r="A250" s="252" t="s">
        <v>489</v>
      </c>
      <c r="B250" s="253"/>
      <c r="C250" s="254"/>
      <c r="D250" s="248">
        <v>4</v>
      </c>
      <c r="E250" s="249"/>
      <c r="F250" s="250">
        <v>12000</v>
      </c>
      <c r="G250" s="251"/>
    </row>
    <row r="251" spans="1:7" ht="18.75" x14ac:dyDescent="0.3">
      <c r="A251" s="252" t="s">
        <v>399</v>
      </c>
      <c r="B251" s="253"/>
      <c r="C251" s="254"/>
      <c r="D251" s="248">
        <v>12</v>
      </c>
      <c r="E251" s="249"/>
      <c r="F251" s="250">
        <v>576000</v>
      </c>
      <c r="G251" s="251"/>
    </row>
    <row r="252" spans="1:7" ht="38.25" customHeight="1" x14ac:dyDescent="0.3">
      <c r="A252" s="252" t="s">
        <v>491</v>
      </c>
      <c r="B252" s="253"/>
      <c r="C252" s="254"/>
      <c r="D252" s="248">
        <v>12</v>
      </c>
      <c r="E252" s="249"/>
      <c r="F252" s="250">
        <v>120000</v>
      </c>
      <c r="G252" s="251"/>
    </row>
    <row r="253" spans="1:7" ht="18.75" x14ac:dyDescent="0.3">
      <c r="A253" s="252" t="s">
        <v>401</v>
      </c>
      <c r="B253" s="253"/>
      <c r="C253" s="254"/>
      <c r="D253" s="248">
        <v>12</v>
      </c>
      <c r="E253" s="249"/>
      <c r="F253" s="250">
        <v>209200</v>
      </c>
      <c r="G253" s="251"/>
    </row>
    <row r="254" spans="1:7" ht="37.5" customHeight="1" x14ac:dyDescent="0.3">
      <c r="A254" s="252" t="s">
        <v>404</v>
      </c>
      <c r="B254" s="253"/>
      <c r="C254" s="254"/>
      <c r="D254" s="248">
        <v>12</v>
      </c>
      <c r="E254" s="249"/>
      <c r="F254" s="250">
        <v>566360</v>
      </c>
      <c r="G254" s="251"/>
    </row>
    <row r="255" spans="1:7" ht="18.75" x14ac:dyDescent="0.3">
      <c r="A255" s="252" t="s">
        <v>466</v>
      </c>
      <c r="B255" s="253"/>
      <c r="C255" s="254"/>
      <c r="D255" s="248">
        <v>12</v>
      </c>
      <c r="E255" s="249"/>
      <c r="F255" s="250">
        <v>140000</v>
      </c>
      <c r="G255" s="251"/>
    </row>
    <row r="256" spans="1:7" ht="18.75" x14ac:dyDescent="0.3">
      <c r="A256" s="252" t="s">
        <v>431</v>
      </c>
      <c r="B256" s="253"/>
      <c r="C256" s="254"/>
      <c r="D256" s="248">
        <v>12</v>
      </c>
      <c r="E256" s="249"/>
      <c r="F256" s="250">
        <v>35000</v>
      </c>
      <c r="G256" s="251"/>
    </row>
    <row r="257" spans="1:7" ht="37.5" customHeight="1" x14ac:dyDescent="0.3">
      <c r="A257" s="252" t="s">
        <v>432</v>
      </c>
      <c r="B257" s="253"/>
      <c r="C257" s="254"/>
      <c r="D257" s="248">
        <v>12</v>
      </c>
      <c r="E257" s="249"/>
      <c r="F257" s="250">
        <v>854700</v>
      </c>
      <c r="G257" s="251"/>
    </row>
    <row r="258" spans="1:7" ht="18.75" x14ac:dyDescent="0.3">
      <c r="A258" s="252" t="s">
        <v>433</v>
      </c>
      <c r="B258" s="253"/>
      <c r="C258" s="254"/>
      <c r="D258" s="248">
        <v>12</v>
      </c>
      <c r="E258" s="249"/>
      <c r="F258" s="250">
        <v>398080</v>
      </c>
      <c r="G258" s="251"/>
    </row>
    <row r="259" spans="1:7" ht="18.75" x14ac:dyDescent="0.3">
      <c r="A259" s="252" t="s">
        <v>146</v>
      </c>
      <c r="B259" s="253"/>
      <c r="C259" s="254"/>
      <c r="D259" s="248"/>
      <c r="E259" s="249"/>
      <c r="F259" s="265">
        <f>'гос.зад на 2022 год '!D52</f>
        <v>21719890.530000001</v>
      </c>
      <c r="G259" s="267"/>
    </row>
    <row r="260" spans="1:7" ht="18.75" x14ac:dyDescent="0.25">
      <c r="A260" s="29"/>
    </row>
    <row r="261" spans="1:7" ht="18.75" x14ac:dyDescent="0.25">
      <c r="A261" s="274" t="s">
        <v>221</v>
      </c>
      <c r="B261" s="274"/>
      <c r="C261" s="274"/>
      <c r="D261" s="274"/>
      <c r="E261" s="274"/>
      <c r="F261" s="274"/>
      <c r="G261" s="274"/>
    </row>
    <row r="262" spans="1:7" ht="18.75" x14ac:dyDescent="0.25">
      <c r="A262" s="9"/>
    </row>
    <row r="263" spans="1:7" ht="35.25" customHeight="1" x14ac:dyDescent="0.3">
      <c r="A263" s="9" t="s">
        <v>145</v>
      </c>
      <c r="B263" s="10">
        <v>244</v>
      </c>
    </row>
    <row r="264" spans="1:7" ht="18.75" x14ac:dyDescent="0.25">
      <c r="A264" s="8"/>
    </row>
    <row r="265" spans="1:7" ht="18.75" x14ac:dyDescent="0.25">
      <c r="A265" s="275" t="s">
        <v>86</v>
      </c>
      <c r="B265" s="275"/>
      <c r="C265" s="275"/>
      <c r="D265" s="275" t="s">
        <v>137</v>
      </c>
      <c r="E265" s="275"/>
      <c r="F265" s="275" t="s">
        <v>138</v>
      </c>
      <c r="G265" s="275"/>
    </row>
    <row r="266" spans="1:7" ht="18.75" x14ac:dyDescent="0.3">
      <c r="A266" s="257">
        <v>1</v>
      </c>
      <c r="B266" s="286"/>
      <c r="C266" s="258"/>
      <c r="D266" s="248">
        <v>2</v>
      </c>
      <c r="E266" s="249"/>
      <c r="F266" s="248">
        <v>3</v>
      </c>
      <c r="G266" s="249"/>
    </row>
    <row r="267" spans="1:7" ht="18.75" x14ac:dyDescent="0.3">
      <c r="A267" s="252" t="s">
        <v>139</v>
      </c>
      <c r="B267" s="253"/>
      <c r="C267" s="254"/>
      <c r="D267" s="261">
        <v>1</v>
      </c>
      <c r="E267" s="262"/>
      <c r="F267" s="250">
        <f>195000</f>
        <v>195000</v>
      </c>
      <c r="G267" s="251"/>
    </row>
    <row r="268" spans="1:7" ht="18.75" x14ac:dyDescent="0.3">
      <c r="A268" s="252" t="s">
        <v>140</v>
      </c>
      <c r="B268" s="253"/>
      <c r="C268" s="254"/>
      <c r="D268" s="261">
        <v>3</v>
      </c>
      <c r="E268" s="262"/>
      <c r="F268" s="250">
        <v>7541898</v>
      </c>
      <c r="G268" s="251"/>
    </row>
    <row r="269" spans="1:7" ht="34.5" customHeight="1" x14ac:dyDescent="0.3">
      <c r="A269" s="252" t="s">
        <v>447</v>
      </c>
      <c r="B269" s="253"/>
      <c r="C269" s="254"/>
      <c r="D269" s="261">
        <v>1</v>
      </c>
      <c r="E269" s="262"/>
      <c r="F269" s="250">
        <v>66000</v>
      </c>
      <c r="G269" s="251"/>
    </row>
    <row r="270" spans="1:7" ht="18.75" x14ac:dyDescent="0.3">
      <c r="A270" s="252" t="s">
        <v>448</v>
      </c>
      <c r="B270" s="253"/>
      <c r="C270" s="254"/>
      <c r="D270" s="261">
        <v>1</v>
      </c>
      <c r="E270" s="262"/>
      <c r="F270" s="250">
        <v>33816</v>
      </c>
      <c r="G270" s="251"/>
    </row>
    <row r="271" spans="1:7" ht="18.75" x14ac:dyDescent="0.3">
      <c r="A271" s="252" t="s">
        <v>451</v>
      </c>
      <c r="B271" s="253"/>
      <c r="C271" s="254"/>
      <c r="D271" s="261">
        <v>1</v>
      </c>
      <c r="E271" s="262"/>
      <c r="F271" s="250">
        <v>50000</v>
      </c>
      <c r="G271" s="251"/>
    </row>
    <row r="272" spans="1:7" ht="18.75" x14ac:dyDescent="0.3">
      <c r="A272" s="252" t="s">
        <v>452</v>
      </c>
      <c r="B272" s="253"/>
      <c r="C272" s="254"/>
      <c r="D272" s="261">
        <v>1</v>
      </c>
      <c r="E272" s="262"/>
      <c r="F272" s="250">
        <v>7200</v>
      </c>
      <c r="G272" s="251"/>
    </row>
    <row r="273" spans="1:7" ht="18.75" x14ac:dyDescent="0.3">
      <c r="A273" s="252" t="s">
        <v>450</v>
      </c>
      <c r="B273" s="253"/>
      <c r="C273" s="254"/>
      <c r="D273" s="261">
        <v>3</v>
      </c>
      <c r="E273" s="262"/>
      <c r="F273" s="250">
        <v>100000</v>
      </c>
      <c r="G273" s="251"/>
    </row>
    <row r="274" spans="1:7" ht="18.75" x14ac:dyDescent="0.3">
      <c r="A274" s="252" t="s">
        <v>352</v>
      </c>
      <c r="B274" s="253"/>
      <c r="C274" s="254"/>
      <c r="D274" s="261">
        <v>1</v>
      </c>
      <c r="E274" s="262"/>
      <c r="F274" s="250">
        <v>288000</v>
      </c>
      <c r="G274" s="251"/>
    </row>
    <row r="275" spans="1:7" ht="18.75" x14ac:dyDescent="0.3">
      <c r="A275" s="252" t="s">
        <v>388</v>
      </c>
      <c r="B275" s="253"/>
      <c r="C275" s="254"/>
      <c r="D275" s="261">
        <v>2</v>
      </c>
      <c r="E275" s="262"/>
      <c r="F275" s="250">
        <v>161990</v>
      </c>
      <c r="G275" s="251"/>
    </row>
    <row r="276" spans="1:7" ht="37.9" customHeight="1" x14ac:dyDescent="0.3">
      <c r="A276" s="252" t="s">
        <v>449</v>
      </c>
      <c r="B276" s="253"/>
      <c r="C276" s="254"/>
      <c r="D276" s="261">
        <v>1</v>
      </c>
      <c r="E276" s="262"/>
      <c r="F276" s="250">
        <v>27500</v>
      </c>
      <c r="G276" s="251"/>
    </row>
    <row r="277" spans="1:7" ht="38.25" customHeight="1" x14ac:dyDescent="0.3">
      <c r="A277" s="252" t="s">
        <v>446</v>
      </c>
      <c r="B277" s="253"/>
      <c r="C277" s="254"/>
      <c r="D277" s="261">
        <v>1</v>
      </c>
      <c r="E277" s="262"/>
      <c r="F277" s="250">
        <f>32863.64+6300</f>
        <v>39163.64</v>
      </c>
      <c r="G277" s="251"/>
    </row>
    <row r="278" spans="1:7" ht="18.75" x14ac:dyDescent="0.3">
      <c r="A278" s="252" t="s">
        <v>146</v>
      </c>
      <c r="B278" s="253"/>
      <c r="C278" s="254"/>
      <c r="D278" s="283"/>
      <c r="E278" s="284"/>
      <c r="F278" s="265">
        <f>'гос.зад на 2022 год '!D58</f>
        <v>8510567.6399999987</v>
      </c>
      <c r="G278" s="267"/>
    </row>
    <row r="279" spans="1:7" ht="18.75" x14ac:dyDescent="0.25">
      <c r="A279" s="8"/>
    </row>
    <row r="280" spans="1:7" ht="18.75" x14ac:dyDescent="0.25">
      <c r="A280" s="274" t="s">
        <v>222</v>
      </c>
      <c r="B280" s="274"/>
      <c r="C280" s="274"/>
      <c r="D280" s="274"/>
      <c r="E280" s="274"/>
      <c r="F280" s="274"/>
      <c r="G280" s="274"/>
    </row>
    <row r="281" spans="1:7" ht="18.75" x14ac:dyDescent="0.25">
      <c r="A281" s="9"/>
    </row>
    <row r="282" spans="1:7" ht="18.75" x14ac:dyDescent="0.3">
      <c r="A282" s="9" t="s">
        <v>145</v>
      </c>
      <c r="B282" s="10">
        <v>244</v>
      </c>
    </row>
    <row r="283" spans="1:7" ht="18.75" x14ac:dyDescent="0.25">
      <c r="A283" s="8"/>
    </row>
    <row r="284" spans="1:7" ht="18.75" x14ac:dyDescent="0.25">
      <c r="A284" s="257" t="s">
        <v>86</v>
      </c>
      <c r="B284" s="258"/>
      <c r="C284" s="257" t="s">
        <v>137</v>
      </c>
      <c r="D284" s="258"/>
      <c r="E284" s="257" t="s">
        <v>138</v>
      </c>
      <c r="F284" s="286"/>
      <c r="G284" s="258"/>
    </row>
    <row r="285" spans="1:7" ht="18.75" x14ac:dyDescent="0.3">
      <c r="A285" s="257">
        <v>1</v>
      </c>
      <c r="B285" s="258"/>
      <c r="C285" s="257">
        <v>2</v>
      </c>
      <c r="D285" s="258"/>
      <c r="E285" s="248">
        <v>3</v>
      </c>
      <c r="F285" s="285"/>
      <c r="G285" s="249"/>
    </row>
    <row r="286" spans="1:7" ht="18.75" x14ac:dyDescent="0.3">
      <c r="A286" s="252" t="s">
        <v>25</v>
      </c>
      <c r="B286" s="254"/>
      <c r="C286" s="257">
        <v>2</v>
      </c>
      <c r="D286" s="258"/>
      <c r="E286" s="265">
        <f>'гос.зад на 2022 год '!D59</f>
        <v>16467.62</v>
      </c>
      <c r="F286" s="266"/>
      <c r="G286" s="267"/>
    </row>
    <row r="287" spans="1:7" ht="18.75" x14ac:dyDescent="0.3">
      <c r="A287" s="28"/>
      <c r="B287" s="28"/>
      <c r="C287" s="19"/>
      <c r="D287" s="19"/>
      <c r="E287" s="198"/>
      <c r="F287" s="198"/>
      <c r="G287" s="198"/>
    </row>
    <row r="288" spans="1:7" ht="18.75" x14ac:dyDescent="0.25">
      <c r="A288" s="274" t="s">
        <v>250</v>
      </c>
      <c r="B288" s="274"/>
      <c r="C288" s="274"/>
      <c r="D288" s="274"/>
      <c r="E288" s="274"/>
      <c r="F288" s="274"/>
      <c r="G288" s="274"/>
    </row>
    <row r="289" spans="1:7" ht="18.75" x14ac:dyDescent="0.25">
      <c r="A289" s="9"/>
    </row>
    <row r="290" spans="1:7" ht="18.75" x14ac:dyDescent="0.3">
      <c r="A290" s="9" t="s">
        <v>145</v>
      </c>
      <c r="B290" s="10">
        <v>244</v>
      </c>
    </row>
    <row r="291" spans="1:7" ht="18.75" x14ac:dyDescent="0.25">
      <c r="A291" s="8"/>
    </row>
    <row r="292" spans="1:7" ht="18.75" x14ac:dyDescent="0.25">
      <c r="A292" s="197" t="s">
        <v>86</v>
      </c>
      <c r="B292" s="275" t="s">
        <v>142</v>
      </c>
      <c r="C292" s="275"/>
      <c r="D292" s="275" t="s">
        <v>143</v>
      </c>
      <c r="E292" s="275"/>
      <c r="F292" s="275" t="s">
        <v>150</v>
      </c>
      <c r="G292" s="275"/>
    </row>
    <row r="293" spans="1:7" ht="18.75" x14ac:dyDescent="0.25">
      <c r="A293" s="197">
        <v>1</v>
      </c>
      <c r="B293" s="257">
        <v>2</v>
      </c>
      <c r="C293" s="258"/>
      <c r="D293" s="257">
        <v>3</v>
      </c>
      <c r="E293" s="258"/>
      <c r="F293" s="257">
        <v>4</v>
      </c>
      <c r="G293" s="258"/>
    </row>
    <row r="294" spans="1:7" ht="18.75" x14ac:dyDescent="0.25">
      <c r="A294" s="13"/>
      <c r="B294" s="257"/>
      <c r="C294" s="258"/>
      <c r="D294" s="255"/>
      <c r="E294" s="256"/>
      <c r="F294" s="255"/>
      <c r="G294" s="256"/>
    </row>
    <row r="295" spans="1:7" ht="18.75" x14ac:dyDescent="0.25">
      <c r="A295" s="13"/>
      <c r="B295" s="257"/>
      <c r="C295" s="258"/>
      <c r="D295" s="255"/>
      <c r="E295" s="256"/>
      <c r="F295" s="255"/>
      <c r="G295" s="256"/>
    </row>
    <row r="296" spans="1:7" ht="18.75" x14ac:dyDescent="0.25">
      <c r="A296" s="13"/>
      <c r="B296" s="257"/>
      <c r="C296" s="258"/>
      <c r="D296" s="255"/>
      <c r="E296" s="256"/>
      <c r="F296" s="255"/>
      <c r="G296" s="256"/>
    </row>
    <row r="297" spans="1:7" ht="18.75" x14ac:dyDescent="0.25">
      <c r="A297" s="13" t="s">
        <v>146</v>
      </c>
      <c r="B297" s="257"/>
      <c r="C297" s="258"/>
      <c r="D297" s="257"/>
      <c r="E297" s="258"/>
      <c r="F297" s="255">
        <f>'гос.зад на 2022 год '!D94</f>
        <v>0</v>
      </c>
      <c r="G297" s="256"/>
    </row>
    <row r="298" spans="1:7" x14ac:dyDescent="0.25">
      <c r="A298" s="23"/>
    </row>
    <row r="299" spans="1:7" ht="18.75" x14ac:dyDescent="0.25">
      <c r="A299" s="282" t="s">
        <v>251</v>
      </c>
      <c r="B299" s="282"/>
      <c r="C299" s="282"/>
      <c r="D299" s="282"/>
      <c r="E299" s="282"/>
      <c r="F299" s="282"/>
      <c r="G299" s="282"/>
    </row>
    <row r="300" spans="1:7" ht="18.75" x14ac:dyDescent="0.25">
      <c r="A300" s="9"/>
    </row>
    <row r="301" spans="1:7" ht="18.75" x14ac:dyDescent="0.3">
      <c r="A301" s="9" t="s">
        <v>145</v>
      </c>
      <c r="B301" s="10">
        <v>244</v>
      </c>
    </row>
    <row r="302" spans="1:7" ht="18.75" x14ac:dyDescent="0.25">
      <c r="A302" s="8"/>
    </row>
    <row r="303" spans="1:7" ht="18.75" x14ac:dyDescent="0.25">
      <c r="A303" s="106" t="s">
        <v>86</v>
      </c>
      <c r="B303" s="275" t="s">
        <v>142</v>
      </c>
      <c r="C303" s="275"/>
      <c r="D303" s="275" t="s">
        <v>143</v>
      </c>
      <c r="E303" s="275"/>
      <c r="F303" s="275" t="s">
        <v>150</v>
      </c>
      <c r="G303" s="275"/>
    </row>
    <row r="304" spans="1:7" ht="18.75" x14ac:dyDescent="0.25">
      <c r="A304" s="106">
        <v>1</v>
      </c>
      <c r="B304" s="257">
        <v>2</v>
      </c>
      <c r="C304" s="258"/>
      <c r="D304" s="257">
        <v>3</v>
      </c>
      <c r="E304" s="258"/>
      <c r="F304" s="257">
        <v>4</v>
      </c>
      <c r="G304" s="258"/>
    </row>
    <row r="305" spans="1:7" ht="18.75" x14ac:dyDescent="0.25">
      <c r="A305" s="13"/>
      <c r="B305" s="259"/>
      <c r="C305" s="260"/>
      <c r="D305" s="255"/>
      <c r="E305" s="256"/>
      <c r="F305" s="255"/>
      <c r="G305" s="256"/>
    </row>
    <row r="306" spans="1:7" ht="18.75" x14ac:dyDescent="0.25">
      <c r="A306" s="13" t="s">
        <v>237</v>
      </c>
      <c r="B306" s="259"/>
      <c r="C306" s="260"/>
      <c r="D306" s="255"/>
      <c r="E306" s="256"/>
      <c r="F306" s="255">
        <f>'гос.зад на 2022 год '!D97</f>
        <v>0</v>
      </c>
      <c r="G306" s="256"/>
    </row>
    <row r="307" spans="1:7" ht="37.5" x14ac:dyDescent="0.25">
      <c r="A307" s="13" t="s">
        <v>445</v>
      </c>
      <c r="B307" s="259"/>
      <c r="C307" s="260"/>
      <c r="D307" s="255"/>
      <c r="E307" s="256"/>
      <c r="F307" s="255"/>
      <c r="G307" s="256"/>
    </row>
    <row r="308" spans="1:7" ht="18.75" x14ac:dyDescent="0.25">
      <c r="A308" s="13" t="s">
        <v>238</v>
      </c>
      <c r="B308" s="259"/>
      <c r="C308" s="260"/>
      <c r="D308" s="255"/>
      <c r="E308" s="256"/>
      <c r="F308" s="255">
        <f>'гос.зад на 2022 год '!D98</f>
        <v>0</v>
      </c>
      <c r="G308" s="256"/>
    </row>
    <row r="309" spans="1:7" ht="18.75" x14ac:dyDescent="0.25">
      <c r="A309" s="13"/>
      <c r="B309" s="259"/>
      <c r="C309" s="260"/>
      <c r="D309" s="255"/>
      <c r="E309" s="256"/>
      <c r="F309" s="255"/>
      <c r="G309" s="256"/>
    </row>
    <row r="310" spans="1:7" ht="18.75" x14ac:dyDescent="0.25">
      <c r="A310" s="13" t="s">
        <v>239</v>
      </c>
      <c r="B310" s="259"/>
      <c r="C310" s="260"/>
      <c r="D310" s="255"/>
      <c r="E310" s="256"/>
      <c r="F310" s="255">
        <f>'гос.зад на 2022 год '!D99</f>
        <v>244800</v>
      </c>
      <c r="G310" s="256"/>
    </row>
    <row r="311" spans="1:7" ht="18.75" x14ac:dyDescent="0.25">
      <c r="A311" s="13" t="s">
        <v>296</v>
      </c>
      <c r="B311" s="263">
        <v>4707.6899999999996</v>
      </c>
      <c r="C311" s="264"/>
      <c r="D311" s="255">
        <v>52</v>
      </c>
      <c r="E311" s="256"/>
      <c r="F311" s="255">
        <v>244800</v>
      </c>
      <c r="G311" s="256"/>
    </row>
    <row r="312" spans="1:7" ht="18.75" x14ac:dyDescent="0.25">
      <c r="A312" s="13" t="s">
        <v>240</v>
      </c>
      <c r="B312" s="259"/>
      <c r="C312" s="260"/>
      <c r="D312" s="255"/>
      <c r="E312" s="256"/>
      <c r="F312" s="255">
        <f>'гос.зад на 2022 год '!D100</f>
        <v>224794.3</v>
      </c>
      <c r="G312" s="256"/>
    </row>
    <row r="313" spans="1:7" ht="18.75" x14ac:dyDescent="0.25">
      <c r="A313" s="13" t="s">
        <v>297</v>
      </c>
      <c r="B313" s="259">
        <v>2000</v>
      </c>
      <c r="C313" s="260"/>
      <c r="D313" s="255">
        <v>112.39</v>
      </c>
      <c r="E313" s="256"/>
      <c r="F313" s="255">
        <v>224794.3</v>
      </c>
      <c r="G313" s="256"/>
    </row>
    <row r="314" spans="1:7" ht="18.75" x14ac:dyDescent="0.25">
      <c r="A314" s="13" t="s">
        <v>241</v>
      </c>
      <c r="B314" s="259"/>
      <c r="C314" s="260"/>
      <c r="D314" s="255"/>
      <c r="E314" s="256"/>
      <c r="F314" s="255">
        <f>'гос.зад на 2022 год '!D101</f>
        <v>600000</v>
      </c>
      <c r="G314" s="256"/>
    </row>
    <row r="315" spans="1:7" ht="18.75" x14ac:dyDescent="0.25">
      <c r="A315" s="13" t="s">
        <v>382</v>
      </c>
      <c r="B315" s="259"/>
      <c r="C315" s="260"/>
      <c r="D315" s="255"/>
      <c r="E315" s="256"/>
      <c r="F315" s="255"/>
      <c r="G315" s="256"/>
    </row>
    <row r="316" spans="1:7" ht="18.75" x14ac:dyDescent="0.25">
      <c r="A316" s="13" t="s">
        <v>298</v>
      </c>
      <c r="B316" s="259">
        <v>93</v>
      </c>
      <c r="C316" s="260"/>
      <c r="D316" s="255">
        <v>2365.59</v>
      </c>
      <c r="E316" s="256"/>
      <c r="F316" s="255">
        <v>118400.3</v>
      </c>
      <c r="G316" s="256"/>
    </row>
    <row r="317" spans="1:7" ht="18.75" x14ac:dyDescent="0.25">
      <c r="A317" s="13" t="s">
        <v>299</v>
      </c>
      <c r="B317" s="259">
        <v>131</v>
      </c>
      <c r="C317" s="260"/>
      <c r="D317" s="255">
        <v>3740.46</v>
      </c>
      <c r="E317" s="256"/>
      <c r="F317" s="255">
        <v>481599.7</v>
      </c>
      <c r="G317" s="256"/>
    </row>
    <row r="318" spans="1:7" ht="18.75" x14ac:dyDescent="0.25">
      <c r="A318" s="13" t="s">
        <v>242</v>
      </c>
      <c r="B318" s="259"/>
      <c r="C318" s="260"/>
      <c r="D318" s="255"/>
      <c r="E318" s="256"/>
      <c r="F318" s="255">
        <f>'гос.зад на 2022 год '!D102</f>
        <v>3653126.6199999992</v>
      </c>
      <c r="G318" s="256"/>
    </row>
    <row r="319" spans="1:7" ht="18.75" x14ac:dyDescent="0.25">
      <c r="A319" s="13" t="s">
        <v>382</v>
      </c>
      <c r="B319" s="259"/>
      <c r="C319" s="260"/>
      <c r="D319" s="255"/>
      <c r="E319" s="256"/>
      <c r="F319" s="255"/>
      <c r="G319" s="256"/>
    </row>
    <row r="320" spans="1:7" ht="18.75" x14ac:dyDescent="0.25">
      <c r="A320" s="13" t="s">
        <v>301</v>
      </c>
      <c r="B320" s="259">
        <v>1000</v>
      </c>
      <c r="C320" s="260"/>
      <c r="D320" s="255">
        <v>45</v>
      </c>
      <c r="E320" s="256"/>
      <c r="F320" s="255">
        <v>45000</v>
      </c>
      <c r="G320" s="256"/>
    </row>
    <row r="321" spans="1:7" ht="18.75" x14ac:dyDescent="0.25">
      <c r="A321" s="13" t="s">
        <v>302</v>
      </c>
      <c r="B321" s="259">
        <v>1999</v>
      </c>
      <c r="C321" s="260"/>
      <c r="D321" s="255">
        <v>22.9</v>
      </c>
      <c r="E321" s="256"/>
      <c r="F321" s="255">
        <v>45777.120000000003</v>
      </c>
      <c r="G321" s="256"/>
    </row>
    <row r="322" spans="1:7" ht="18.75" x14ac:dyDescent="0.25">
      <c r="A322" s="13" t="s">
        <v>419</v>
      </c>
      <c r="B322" s="259">
        <v>141</v>
      </c>
      <c r="C322" s="260"/>
      <c r="D322" s="255">
        <v>2593.62</v>
      </c>
      <c r="E322" s="256"/>
      <c r="F322" s="255">
        <f>45000+180700+140000</f>
        <v>365700</v>
      </c>
      <c r="G322" s="256"/>
    </row>
    <row r="323" spans="1:7" ht="18.75" x14ac:dyDescent="0.25">
      <c r="A323" s="13" t="s">
        <v>304</v>
      </c>
      <c r="B323" s="259">
        <v>200</v>
      </c>
      <c r="C323" s="260"/>
      <c r="D323" s="255">
        <v>1400</v>
      </c>
      <c r="E323" s="256"/>
      <c r="F323" s="255">
        <v>280000</v>
      </c>
      <c r="G323" s="256"/>
    </row>
    <row r="324" spans="1:7" ht="37.5" x14ac:dyDescent="0.25">
      <c r="A324" s="13" t="s">
        <v>305</v>
      </c>
      <c r="B324" s="259">
        <v>1500</v>
      </c>
      <c r="C324" s="260"/>
      <c r="D324" s="255">
        <v>10583.49</v>
      </c>
      <c r="E324" s="256"/>
      <c r="F324" s="255">
        <v>1647953.8</v>
      </c>
      <c r="G324" s="256"/>
    </row>
    <row r="325" spans="1:7" ht="18.75" x14ac:dyDescent="0.25">
      <c r="A325" s="13" t="s">
        <v>383</v>
      </c>
      <c r="B325" s="259"/>
      <c r="C325" s="260"/>
      <c r="D325" s="255"/>
      <c r="E325" s="256"/>
      <c r="F325" s="255"/>
      <c r="G325" s="256"/>
    </row>
    <row r="326" spans="1:7" ht="18.75" x14ac:dyDescent="0.25">
      <c r="A326" s="13" t="s">
        <v>418</v>
      </c>
      <c r="B326" s="259">
        <v>1000</v>
      </c>
      <c r="C326" s="260"/>
      <c r="D326" s="255">
        <v>162.62</v>
      </c>
      <c r="E326" s="256"/>
      <c r="F326" s="255">
        <v>162620</v>
      </c>
      <c r="G326" s="256"/>
    </row>
    <row r="327" spans="1:7" ht="18.75" x14ac:dyDescent="0.25">
      <c r="A327" s="13" t="s">
        <v>419</v>
      </c>
      <c r="B327" s="259">
        <v>500</v>
      </c>
      <c r="C327" s="260"/>
      <c r="D327" s="255">
        <v>28.13</v>
      </c>
      <c r="E327" s="256"/>
      <c r="F327" s="255">
        <v>14065.7</v>
      </c>
      <c r="G327" s="256"/>
    </row>
    <row r="328" spans="1:7" ht="37.5" x14ac:dyDescent="0.25">
      <c r="A328" s="13" t="s">
        <v>420</v>
      </c>
      <c r="B328" s="259">
        <v>30</v>
      </c>
      <c r="C328" s="260"/>
      <c r="D328" s="255">
        <v>212.51</v>
      </c>
      <c r="E328" s="256"/>
      <c r="F328" s="255">
        <v>6375.3</v>
      </c>
      <c r="G328" s="256"/>
    </row>
    <row r="329" spans="1:7" ht="37.5" x14ac:dyDescent="0.25">
      <c r="A329" s="13" t="s">
        <v>421</v>
      </c>
      <c r="B329" s="259">
        <v>12</v>
      </c>
      <c r="C329" s="260"/>
      <c r="D329" s="255">
        <v>13858.18</v>
      </c>
      <c r="E329" s="256"/>
      <c r="F329" s="255">
        <v>166298.20000000001</v>
      </c>
      <c r="G329" s="256"/>
    </row>
    <row r="330" spans="1:7" ht="18.75" x14ac:dyDescent="0.25">
      <c r="A330" s="13" t="s">
        <v>422</v>
      </c>
      <c r="B330" s="259">
        <v>1000</v>
      </c>
      <c r="C330" s="260"/>
      <c r="D330" s="255">
        <v>8.31</v>
      </c>
      <c r="E330" s="256"/>
      <c r="F330" s="255">
        <v>8310</v>
      </c>
      <c r="G330" s="256"/>
    </row>
    <row r="331" spans="1:7" ht="18.75" x14ac:dyDescent="0.25">
      <c r="A331" s="13" t="s">
        <v>301</v>
      </c>
      <c r="B331" s="259">
        <v>1000</v>
      </c>
      <c r="C331" s="260"/>
      <c r="D331" s="255">
        <v>277.19</v>
      </c>
      <c r="E331" s="256"/>
      <c r="F331" s="255">
        <v>277190</v>
      </c>
      <c r="G331" s="256"/>
    </row>
    <row r="332" spans="1:7" ht="37.5" x14ac:dyDescent="0.25">
      <c r="A332" s="13" t="s">
        <v>305</v>
      </c>
      <c r="B332" s="259">
        <v>80</v>
      </c>
      <c r="C332" s="260"/>
      <c r="D332" s="255">
        <v>3926.75</v>
      </c>
      <c r="E332" s="256"/>
      <c r="F332" s="255">
        <v>314140</v>
      </c>
      <c r="G332" s="256"/>
    </row>
    <row r="333" spans="1:7" ht="18.75" x14ac:dyDescent="0.25">
      <c r="A333" s="13" t="s">
        <v>423</v>
      </c>
      <c r="B333" s="259">
        <v>70</v>
      </c>
      <c r="C333" s="260"/>
      <c r="D333" s="255">
        <v>791.95</v>
      </c>
      <c r="E333" s="256"/>
      <c r="F333" s="255">
        <v>55436.5</v>
      </c>
      <c r="G333" s="256"/>
    </row>
    <row r="334" spans="1:7" ht="18.75" x14ac:dyDescent="0.25">
      <c r="A334" s="13" t="s">
        <v>434</v>
      </c>
      <c r="B334" s="259">
        <v>2000</v>
      </c>
      <c r="C334" s="260"/>
      <c r="D334" s="255">
        <v>132.13</v>
      </c>
      <c r="E334" s="256"/>
      <c r="F334" s="255">
        <v>264260</v>
      </c>
      <c r="G334" s="256"/>
    </row>
    <row r="335" spans="1:7" ht="18.75" x14ac:dyDescent="0.25">
      <c r="A335" s="13" t="s">
        <v>369</v>
      </c>
      <c r="B335" s="259"/>
      <c r="C335" s="260"/>
      <c r="D335" s="255"/>
      <c r="E335" s="256"/>
      <c r="F335" s="255">
        <f>'гос.зад на 2022 год '!D103</f>
        <v>0</v>
      </c>
      <c r="G335" s="256"/>
    </row>
    <row r="336" spans="1:7" ht="18.75" x14ac:dyDescent="0.25">
      <c r="A336" s="13" t="s">
        <v>243</v>
      </c>
      <c r="B336" s="259"/>
      <c r="C336" s="260"/>
      <c r="D336" s="255"/>
      <c r="E336" s="256"/>
      <c r="F336" s="255">
        <f>'гос.зад на 2022 год '!D104</f>
        <v>150000</v>
      </c>
      <c r="G336" s="256"/>
    </row>
    <row r="337" spans="1:7" ht="18.75" x14ac:dyDescent="0.25">
      <c r="A337" s="13" t="s">
        <v>497</v>
      </c>
      <c r="B337" s="259">
        <v>300</v>
      </c>
      <c r="C337" s="260"/>
      <c r="D337" s="255">
        <f>F337/B337</f>
        <v>500</v>
      </c>
      <c r="E337" s="256"/>
      <c r="F337" s="255">
        <v>150000</v>
      </c>
      <c r="G337" s="256"/>
    </row>
    <row r="338" spans="1:7" ht="18.75" x14ac:dyDescent="0.25">
      <c r="A338" s="15"/>
      <c r="B338" s="127"/>
      <c r="C338" s="127"/>
      <c r="D338" s="82"/>
      <c r="E338" s="82"/>
      <c r="F338" s="82"/>
      <c r="G338" s="82"/>
    </row>
    <row r="339" spans="1:7" ht="18.75" x14ac:dyDescent="0.3">
      <c r="A339" s="29" t="s">
        <v>151</v>
      </c>
      <c r="B339" s="10"/>
      <c r="C339" s="224"/>
      <c r="D339" s="224"/>
      <c r="E339" s="10"/>
      <c r="F339" s="224" t="s">
        <v>499</v>
      </c>
      <c r="G339" s="224"/>
    </row>
    <row r="340" spans="1:7" ht="18.75" x14ac:dyDescent="0.3">
      <c r="A340" s="29"/>
      <c r="B340" s="10"/>
      <c r="C340" s="223" t="s">
        <v>53</v>
      </c>
      <c r="D340" s="223"/>
      <c r="E340" s="10"/>
      <c r="F340" s="223" t="s">
        <v>54</v>
      </c>
      <c r="G340" s="223"/>
    </row>
    <row r="341" spans="1:7" ht="18.75" x14ac:dyDescent="0.3">
      <c r="A341" s="29"/>
      <c r="B341" s="10"/>
      <c r="C341" s="104"/>
      <c r="D341" s="104"/>
      <c r="E341" s="10"/>
      <c r="F341" s="104"/>
      <c r="G341" s="104"/>
    </row>
    <row r="342" spans="1:7" ht="37.5" x14ac:dyDescent="0.3">
      <c r="A342" s="29" t="s">
        <v>152</v>
      </c>
      <c r="B342" s="10"/>
      <c r="C342" s="224"/>
      <c r="D342" s="224"/>
      <c r="E342" s="10"/>
      <c r="F342" s="224" t="s">
        <v>500</v>
      </c>
      <c r="G342" s="224"/>
    </row>
    <row r="343" spans="1:7" ht="18.75" x14ac:dyDescent="0.3">
      <c r="A343" s="29"/>
      <c r="B343" s="10"/>
      <c r="C343" s="223" t="s">
        <v>53</v>
      </c>
      <c r="D343" s="223"/>
      <c r="E343" s="10"/>
      <c r="F343" s="223" t="s">
        <v>54</v>
      </c>
      <c r="G343" s="223"/>
    </row>
    <row r="344" spans="1:7" ht="18.75" x14ac:dyDescent="0.3">
      <c r="A344" s="29"/>
      <c r="B344" s="10"/>
      <c r="C344" s="104"/>
      <c r="D344" s="104"/>
      <c r="E344" s="10"/>
      <c r="F344" s="104"/>
      <c r="G344" s="104"/>
    </row>
    <row r="345" spans="1:7" ht="18.75" x14ac:dyDescent="0.3">
      <c r="A345" s="29" t="s">
        <v>153</v>
      </c>
      <c r="B345" s="10"/>
      <c r="C345" s="224"/>
      <c r="D345" s="224"/>
      <c r="E345" s="10"/>
      <c r="F345" s="224" t="s">
        <v>500</v>
      </c>
      <c r="G345" s="224"/>
    </row>
    <row r="346" spans="1:7" ht="18.75" x14ac:dyDescent="0.3">
      <c r="A346" s="29"/>
      <c r="B346" s="10"/>
      <c r="C346" s="223" t="s">
        <v>53</v>
      </c>
      <c r="D346" s="223"/>
      <c r="E346" s="10"/>
      <c r="F346" s="223" t="s">
        <v>54</v>
      </c>
      <c r="G346" s="223"/>
    </row>
    <row r="347" spans="1:7" ht="18.75" x14ac:dyDescent="0.3">
      <c r="A347" s="29" t="s">
        <v>154</v>
      </c>
      <c r="B347" s="10"/>
      <c r="C347" s="10"/>
      <c r="D347" s="10"/>
      <c r="E347" s="10"/>
      <c r="F347" s="10"/>
      <c r="G347" s="10"/>
    </row>
    <row r="348" spans="1:7" ht="18.75" x14ac:dyDescent="0.3">
      <c r="A348" s="222" t="s">
        <v>44</v>
      </c>
      <c r="B348" s="222"/>
      <c r="C348" s="10"/>
      <c r="D348" s="10"/>
      <c r="E348" s="10"/>
      <c r="F348" s="10"/>
      <c r="G348" s="10"/>
    </row>
  </sheetData>
  <mergeCells count="481">
    <mergeCell ref="A243:C243"/>
    <mergeCell ref="D243:E243"/>
    <mergeCell ref="F243:G243"/>
    <mergeCell ref="A258:C258"/>
    <mergeCell ref="D258:E258"/>
    <mergeCell ref="F258:G258"/>
    <mergeCell ref="A257:C257"/>
    <mergeCell ref="D257:E257"/>
    <mergeCell ref="A254:C254"/>
    <mergeCell ref="D254:E254"/>
    <mergeCell ref="F254:G254"/>
    <mergeCell ref="A256:C256"/>
    <mergeCell ref="D256:E256"/>
    <mergeCell ref="F256:G256"/>
    <mergeCell ref="A251:C251"/>
    <mergeCell ref="D251:E251"/>
    <mergeCell ref="F251:G251"/>
    <mergeCell ref="A252:C252"/>
    <mergeCell ref="D252:E252"/>
    <mergeCell ref="F252:G252"/>
    <mergeCell ref="A253:C253"/>
    <mergeCell ref="D253:E253"/>
    <mergeCell ref="A272:C272"/>
    <mergeCell ref="D272:E272"/>
    <mergeCell ref="F272:G272"/>
    <mergeCell ref="A276:C276"/>
    <mergeCell ref="A270:C270"/>
    <mergeCell ref="D270:E270"/>
    <mergeCell ref="F270:G270"/>
    <mergeCell ref="A288:G288"/>
    <mergeCell ref="B292:C292"/>
    <mergeCell ref="D292:E292"/>
    <mergeCell ref="F292:G292"/>
    <mergeCell ref="D276:E276"/>
    <mergeCell ref="F276:G276"/>
    <mergeCell ref="F273:G273"/>
    <mergeCell ref="A280:G280"/>
    <mergeCell ref="A284:B284"/>
    <mergeCell ref="C284:D284"/>
    <mergeCell ref="E284:G284"/>
    <mergeCell ref="B337:C337"/>
    <mergeCell ref="D337:E337"/>
    <mergeCell ref="F337:G337"/>
    <mergeCell ref="B315:C315"/>
    <mergeCell ref="D315:E315"/>
    <mergeCell ref="F315:G315"/>
    <mergeCell ref="B325:C325"/>
    <mergeCell ref="D325:E325"/>
    <mergeCell ref="F325:G325"/>
    <mergeCell ref="B326:C326"/>
    <mergeCell ref="D326:E326"/>
    <mergeCell ref="F326:G326"/>
    <mergeCell ref="B319:C319"/>
    <mergeCell ref="D319:E319"/>
    <mergeCell ref="F319:G319"/>
    <mergeCell ref="B322:C322"/>
    <mergeCell ref="D322:E322"/>
    <mergeCell ref="F322:G322"/>
    <mergeCell ref="B335:C335"/>
    <mergeCell ref="D335:E335"/>
    <mergeCell ref="F335:G335"/>
    <mergeCell ref="B329:C329"/>
    <mergeCell ref="D329:E329"/>
    <mergeCell ref="F329:G329"/>
    <mergeCell ref="F211:G212"/>
    <mergeCell ref="B212:C212"/>
    <mergeCell ref="D212:E212"/>
    <mergeCell ref="B189:C190"/>
    <mergeCell ref="D189:E190"/>
    <mergeCell ref="F189:G190"/>
    <mergeCell ref="B214:C214"/>
    <mergeCell ref="D214:E214"/>
    <mergeCell ref="F213:G214"/>
    <mergeCell ref="F207:G207"/>
    <mergeCell ref="A193:G193"/>
    <mergeCell ref="B199:C199"/>
    <mergeCell ref="D199:E199"/>
    <mergeCell ref="F199:G199"/>
    <mergeCell ref="D211:E211"/>
    <mergeCell ref="B213:C213"/>
    <mergeCell ref="D213:E213"/>
    <mergeCell ref="B209:C209"/>
    <mergeCell ref="D209:E209"/>
    <mergeCell ref="B187:C187"/>
    <mergeCell ref="D187:E187"/>
    <mergeCell ref="F187:G187"/>
    <mergeCell ref="B177:C177"/>
    <mergeCell ref="D177:E177"/>
    <mergeCell ref="F177:G177"/>
    <mergeCell ref="B191:C191"/>
    <mergeCell ref="D191:E191"/>
    <mergeCell ref="F191:G191"/>
    <mergeCell ref="B185:C185"/>
    <mergeCell ref="D185:E185"/>
    <mergeCell ref="F185:G185"/>
    <mergeCell ref="B188:C188"/>
    <mergeCell ref="D188:E188"/>
    <mergeCell ref="F188:G188"/>
    <mergeCell ref="D231:E231"/>
    <mergeCell ref="F156:G156"/>
    <mergeCell ref="B157:C157"/>
    <mergeCell ref="D157:E157"/>
    <mergeCell ref="F157:G157"/>
    <mergeCell ref="A234:C234"/>
    <mergeCell ref="D234:E234"/>
    <mergeCell ref="F234:G234"/>
    <mergeCell ref="B171:C171"/>
    <mergeCell ref="D171:E171"/>
    <mergeCell ref="F171:G171"/>
    <mergeCell ref="B169:C169"/>
    <mergeCell ref="D169:E169"/>
    <mergeCell ref="F169:G169"/>
    <mergeCell ref="B186:C186"/>
    <mergeCell ref="D186:E186"/>
    <mergeCell ref="F186:G186"/>
    <mergeCell ref="B210:C210"/>
    <mergeCell ref="D210:E210"/>
    <mergeCell ref="F209:G210"/>
    <mergeCell ref="D206:E206"/>
    <mergeCell ref="F206:G206"/>
    <mergeCell ref="B207:C207"/>
    <mergeCell ref="D207:E207"/>
    <mergeCell ref="C131:D131"/>
    <mergeCell ref="F131:G131"/>
    <mergeCell ref="C132:D132"/>
    <mergeCell ref="F132:G132"/>
    <mergeCell ref="C133:D133"/>
    <mergeCell ref="F133:G133"/>
    <mergeCell ref="B149:C149"/>
    <mergeCell ref="D149:E149"/>
    <mergeCell ref="F149:G149"/>
    <mergeCell ref="A143:G143"/>
    <mergeCell ref="B147:C147"/>
    <mergeCell ref="D147:E147"/>
    <mergeCell ref="F148:G148"/>
    <mergeCell ref="F140:G140"/>
    <mergeCell ref="A135:G135"/>
    <mergeCell ref="F139:G139"/>
    <mergeCell ref="D125:E125"/>
    <mergeCell ref="F125:G125"/>
    <mergeCell ref="A1:G1"/>
    <mergeCell ref="A3:G3"/>
    <mergeCell ref="A5:G5"/>
    <mergeCell ref="B9:C9"/>
    <mergeCell ref="D9:E9"/>
    <mergeCell ref="F9:G9"/>
    <mergeCell ref="A13:G13"/>
    <mergeCell ref="A15:G15"/>
    <mergeCell ref="A19:A21"/>
    <mergeCell ref="B19:B21"/>
    <mergeCell ref="C19:F19"/>
    <mergeCell ref="G19:G21"/>
    <mergeCell ref="C20:C21"/>
    <mergeCell ref="D20:F20"/>
    <mergeCell ref="A39:G39"/>
    <mergeCell ref="A104:G104"/>
    <mergeCell ref="A32:G32"/>
    <mergeCell ref="A43:G43"/>
    <mergeCell ref="A48:G48"/>
    <mergeCell ref="A57:G57"/>
    <mergeCell ref="A61:G61"/>
    <mergeCell ref="A72:G72"/>
    <mergeCell ref="A127:G127"/>
    <mergeCell ref="A116:G116"/>
    <mergeCell ref="B10:C10"/>
    <mergeCell ref="D10:E10"/>
    <mergeCell ref="F10:G10"/>
    <mergeCell ref="B11:C11"/>
    <mergeCell ref="D11:E11"/>
    <mergeCell ref="F11:G11"/>
    <mergeCell ref="A232:C232"/>
    <mergeCell ref="D232:E232"/>
    <mergeCell ref="F232:G232"/>
    <mergeCell ref="F231:G231"/>
    <mergeCell ref="A118:G118"/>
    <mergeCell ref="A122:A123"/>
    <mergeCell ref="B122:C123"/>
    <mergeCell ref="D122:E123"/>
    <mergeCell ref="F122:G123"/>
    <mergeCell ref="B124:C124"/>
    <mergeCell ref="D124:E124"/>
    <mergeCell ref="F124:G124"/>
    <mergeCell ref="B125:C125"/>
    <mergeCell ref="F147:G147"/>
    <mergeCell ref="B148:C148"/>
    <mergeCell ref="D148:E148"/>
    <mergeCell ref="A151:G151"/>
    <mergeCell ref="B155:C155"/>
    <mergeCell ref="D155:E155"/>
    <mergeCell ref="F155:G155"/>
    <mergeCell ref="B156:C156"/>
    <mergeCell ref="D156:E156"/>
    <mergeCell ref="B170:C170"/>
    <mergeCell ref="D170:E170"/>
    <mergeCell ref="F170:G170"/>
    <mergeCell ref="B163:C163"/>
    <mergeCell ref="D163:E163"/>
    <mergeCell ref="F163:G163"/>
    <mergeCell ref="B164:C164"/>
    <mergeCell ref="D164:E164"/>
    <mergeCell ref="F164:G165"/>
    <mergeCell ref="B165:C165"/>
    <mergeCell ref="D165:E165"/>
    <mergeCell ref="A159:G159"/>
    <mergeCell ref="B162:C162"/>
    <mergeCell ref="D162:E162"/>
    <mergeCell ref="F162:G162"/>
    <mergeCell ref="B175:C175"/>
    <mergeCell ref="D175:E175"/>
    <mergeCell ref="F175:G175"/>
    <mergeCell ref="B176:C176"/>
    <mergeCell ref="D176:E176"/>
    <mergeCell ref="F176:G176"/>
    <mergeCell ref="B184:C184"/>
    <mergeCell ref="D184:E184"/>
    <mergeCell ref="F184:G184"/>
    <mergeCell ref="A179:G179"/>
    <mergeCell ref="B183:C183"/>
    <mergeCell ref="D183:E183"/>
    <mergeCell ref="F183:G183"/>
    <mergeCell ref="A242:C242"/>
    <mergeCell ref="D242:E242"/>
    <mergeCell ref="F242:G242"/>
    <mergeCell ref="A223:C223"/>
    <mergeCell ref="D223:E223"/>
    <mergeCell ref="F223:G223"/>
    <mergeCell ref="A226:C226"/>
    <mergeCell ref="D226:E226"/>
    <mergeCell ref="F226:G226"/>
    <mergeCell ref="A227:C227"/>
    <mergeCell ref="D227:E227"/>
    <mergeCell ref="F227:G227"/>
    <mergeCell ref="A228:C228"/>
    <mergeCell ref="D228:E228"/>
    <mergeCell ref="F228:G228"/>
    <mergeCell ref="A229:C229"/>
    <mergeCell ref="D229:E229"/>
    <mergeCell ref="F241:G241"/>
    <mergeCell ref="A224:C224"/>
    <mergeCell ref="D224:E224"/>
    <mergeCell ref="F224:G224"/>
    <mergeCell ref="A237:C237"/>
    <mergeCell ref="A233:C233"/>
    <mergeCell ref="D233:E233"/>
    <mergeCell ref="A266:C266"/>
    <mergeCell ref="D266:E266"/>
    <mergeCell ref="F266:G266"/>
    <mergeCell ref="A244:C244"/>
    <mergeCell ref="D244:E244"/>
    <mergeCell ref="F244:G244"/>
    <mergeCell ref="A245:C245"/>
    <mergeCell ref="D245:E245"/>
    <mergeCell ref="F245:G245"/>
    <mergeCell ref="A249:C249"/>
    <mergeCell ref="D249:E249"/>
    <mergeCell ref="F249:G249"/>
    <mergeCell ref="F255:G255"/>
    <mergeCell ref="A261:G261"/>
    <mergeCell ref="A259:C259"/>
    <mergeCell ref="D259:E259"/>
    <mergeCell ref="F259:G259"/>
    <mergeCell ref="F253:G253"/>
    <mergeCell ref="A255:C255"/>
    <mergeCell ref="D255:E255"/>
    <mergeCell ref="F257:G257"/>
    <mergeCell ref="A265:C265"/>
    <mergeCell ref="D265:E265"/>
    <mergeCell ref="F265:G265"/>
    <mergeCell ref="A267:C267"/>
    <mergeCell ref="D267:E267"/>
    <mergeCell ref="F267:G267"/>
    <mergeCell ref="A268:C268"/>
    <mergeCell ref="D268:E268"/>
    <mergeCell ref="F268:G268"/>
    <mergeCell ref="F304:G304"/>
    <mergeCell ref="A285:B285"/>
    <mergeCell ref="C285:D285"/>
    <mergeCell ref="A278:C278"/>
    <mergeCell ref="D278:E278"/>
    <mergeCell ref="F278:G278"/>
    <mergeCell ref="A273:C273"/>
    <mergeCell ref="D273:E273"/>
    <mergeCell ref="A274:C274"/>
    <mergeCell ref="D274:E274"/>
    <mergeCell ref="F274:G274"/>
    <mergeCell ref="E285:G285"/>
    <mergeCell ref="A275:C275"/>
    <mergeCell ref="D275:E275"/>
    <mergeCell ref="F275:G275"/>
    <mergeCell ref="A277:C277"/>
    <mergeCell ref="D277:E277"/>
    <mergeCell ref="F277:G277"/>
    <mergeCell ref="D309:E309"/>
    <mergeCell ref="F309:G309"/>
    <mergeCell ref="B310:C310"/>
    <mergeCell ref="D310:E310"/>
    <mergeCell ref="F310:G310"/>
    <mergeCell ref="B307:C307"/>
    <mergeCell ref="D307:E307"/>
    <mergeCell ref="F307:G307"/>
    <mergeCell ref="B308:C308"/>
    <mergeCell ref="D308:E308"/>
    <mergeCell ref="F308:G308"/>
    <mergeCell ref="D305:E305"/>
    <mergeCell ref="F305:G305"/>
    <mergeCell ref="B306:C306"/>
    <mergeCell ref="D306:E306"/>
    <mergeCell ref="F306:G306"/>
    <mergeCell ref="A299:G299"/>
    <mergeCell ref="B303:C303"/>
    <mergeCell ref="D303:E303"/>
    <mergeCell ref="F303:G303"/>
    <mergeCell ref="B304:C304"/>
    <mergeCell ref="D304:E304"/>
    <mergeCell ref="B293:C293"/>
    <mergeCell ref="F141:G141"/>
    <mergeCell ref="C139:D139"/>
    <mergeCell ref="C140:D140"/>
    <mergeCell ref="C141:D141"/>
    <mergeCell ref="A348:B348"/>
    <mergeCell ref="C343:D343"/>
    <mergeCell ref="F343:G343"/>
    <mergeCell ref="C345:D345"/>
    <mergeCell ref="F345:G345"/>
    <mergeCell ref="C346:D346"/>
    <mergeCell ref="F346:G346"/>
    <mergeCell ref="C339:D339"/>
    <mergeCell ref="F339:G339"/>
    <mergeCell ref="C340:D340"/>
    <mergeCell ref="F340:G340"/>
    <mergeCell ref="C342:D342"/>
    <mergeCell ref="F342:G342"/>
    <mergeCell ref="B336:C336"/>
    <mergeCell ref="D336:E336"/>
    <mergeCell ref="F336:G336"/>
    <mergeCell ref="B211:C211"/>
    <mergeCell ref="B318:C318"/>
    <mergeCell ref="D318:E318"/>
    <mergeCell ref="A219:G219"/>
    <mergeCell ref="B215:C215"/>
    <mergeCell ref="D215:E215"/>
    <mergeCell ref="B217:C217"/>
    <mergeCell ref="D217:E217"/>
    <mergeCell ref="F217:G217"/>
    <mergeCell ref="A225:C225"/>
    <mergeCell ref="D225:E225"/>
    <mergeCell ref="F225:G225"/>
    <mergeCell ref="B216:C216"/>
    <mergeCell ref="D216:E216"/>
    <mergeCell ref="F215:G216"/>
    <mergeCell ref="F233:G233"/>
    <mergeCell ref="A240:C240"/>
    <mergeCell ref="F229:G229"/>
    <mergeCell ref="A238:C238"/>
    <mergeCell ref="D238:E238"/>
    <mergeCell ref="F238:G238"/>
    <mergeCell ref="A236:C236"/>
    <mergeCell ref="A81:G81"/>
    <mergeCell ref="A87:G87"/>
    <mergeCell ref="A99:G99"/>
    <mergeCell ref="B200:C200"/>
    <mergeCell ref="D200:E200"/>
    <mergeCell ref="F200:G200"/>
    <mergeCell ref="B208:C208"/>
    <mergeCell ref="D208:E208"/>
    <mergeCell ref="F208:G208"/>
    <mergeCell ref="A202:G202"/>
    <mergeCell ref="B206:C206"/>
    <mergeCell ref="B197:C197"/>
    <mergeCell ref="D197:E197"/>
    <mergeCell ref="F197:G197"/>
    <mergeCell ref="B198:C198"/>
    <mergeCell ref="D198:E198"/>
    <mergeCell ref="F198:G198"/>
    <mergeCell ref="A269:C269"/>
    <mergeCell ref="D269:E269"/>
    <mergeCell ref="F269:G269"/>
    <mergeCell ref="A271:C271"/>
    <mergeCell ref="D271:E271"/>
    <mergeCell ref="F271:G271"/>
    <mergeCell ref="B328:C328"/>
    <mergeCell ref="D328:E328"/>
    <mergeCell ref="F328:G328"/>
    <mergeCell ref="F318:G318"/>
    <mergeCell ref="B311:C311"/>
    <mergeCell ref="D311:E311"/>
    <mergeCell ref="F311:G311"/>
    <mergeCell ref="B312:C312"/>
    <mergeCell ref="D312:E312"/>
    <mergeCell ref="F312:G312"/>
    <mergeCell ref="B309:C309"/>
    <mergeCell ref="A286:B286"/>
    <mergeCell ref="C286:D286"/>
    <mergeCell ref="E286:G286"/>
    <mergeCell ref="B305:C305"/>
    <mergeCell ref="D293:E293"/>
    <mergeCell ref="F293:G293"/>
    <mergeCell ref="B294:C294"/>
    <mergeCell ref="B330:C330"/>
    <mergeCell ref="D330:E330"/>
    <mergeCell ref="F330:G330"/>
    <mergeCell ref="B331:C331"/>
    <mergeCell ref="D331:E331"/>
    <mergeCell ref="F331:G331"/>
    <mergeCell ref="B320:C320"/>
    <mergeCell ref="D320:E320"/>
    <mergeCell ref="B334:C334"/>
    <mergeCell ref="D334:E334"/>
    <mergeCell ref="F334:G334"/>
    <mergeCell ref="B332:C332"/>
    <mergeCell ref="D332:E332"/>
    <mergeCell ref="F332:G332"/>
    <mergeCell ref="B333:C333"/>
    <mergeCell ref="D333:E333"/>
    <mergeCell ref="F333:G333"/>
    <mergeCell ref="F320:G320"/>
    <mergeCell ref="B323:C323"/>
    <mergeCell ref="D323:E323"/>
    <mergeCell ref="F323:G323"/>
    <mergeCell ref="B324:C324"/>
    <mergeCell ref="D324:E324"/>
    <mergeCell ref="F324:G324"/>
    <mergeCell ref="F240:G240"/>
    <mergeCell ref="A241:C241"/>
    <mergeCell ref="D241:E241"/>
    <mergeCell ref="B327:C327"/>
    <mergeCell ref="D327:E327"/>
    <mergeCell ref="F327:G327"/>
    <mergeCell ref="D237:E237"/>
    <mergeCell ref="F237:G237"/>
    <mergeCell ref="B321:C321"/>
    <mergeCell ref="D321:E321"/>
    <mergeCell ref="F321:G321"/>
    <mergeCell ref="B313:C313"/>
    <mergeCell ref="D313:E313"/>
    <mergeCell ref="F313:G313"/>
    <mergeCell ref="B314:C314"/>
    <mergeCell ref="D314:E314"/>
    <mergeCell ref="D240:E240"/>
    <mergeCell ref="F314:G314"/>
    <mergeCell ref="B316:C316"/>
    <mergeCell ref="D316:E316"/>
    <mergeCell ref="F316:G316"/>
    <mergeCell ref="B317:C317"/>
    <mergeCell ref="D317:E317"/>
    <mergeCell ref="F317:G317"/>
    <mergeCell ref="D294:E294"/>
    <mergeCell ref="F294:G294"/>
    <mergeCell ref="B297:C297"/>
    <mergeCell ref="D297:E297"/>
    <mergeCell ref="F297:G297"/>
    <mergeCell ref="B295:C295"/>
    <mergeCell ref="D295:E295"/>
    <mergeCell ref="F295:G295"/>
    <mergeCell ref="B296:C296"/>
    <mergeCell ref="D296:E296"/>
    <mergeCell ref="F296:G296"/>
    <mergeCell ref="A230:C230"/>
    <mergeCell ref="D230:E230"/>
    <mergeCell ref="F230:G230"/>
    <mergeCell ref="A250:C250"/>
    <mergeCell ref="D250:E250"/>
    <mergeCell ref="F250:G250"/>
    <mergeCell ref="A239:C239"/>
    <mergeCell ref="D239:E239"/>
    <mergeCell ref="F239:G239"/>
    <mergeCell ref="A246:C246"/>
    <mergeCell ref="D246:E246"/>
    <mergeCell ref="F246:G246"/>
    <mergeCell ref="A247:C247"/>
    <mergeCell ref="D247:E247"/>
    <mergeCell ref="F247:G247"/>
    <mergeCell ref="A248:C248"/>
    <mergeCell ref="D248:E248"/>
    <mergeCell ref="F248:G248"/>
    <mergeCell ref="D236:E236"/>
    <mergeCell ref="F236:G236"/>
    <mergeCell ref="A235:C235"/>
    <mergeCell ref="D235:E235"/>
    <mergeCell ref="F235:G235"/>
    <mergeCell ref="A231:C231"/>
  </mergeCells>
  <pageMargins left="1.3779527559055118" right="0.39370078740157483" top="0.98425196850393704" bottom="0.78740157480314965" header="0.31496062992125984" footer="0.31496062992125984"/>
  <pageSetup paperSize="9" scale="48" orientation="portrait" r:id="rId1"/>
  <rowBreaks count="5" manualBreakCount="5">
    <brk id="51" max="6" man="1"/>
    <brk id="114" max="6" man="1"/>
    <brk id="165" max="6" man="1"/>
    <brk id="217" max="6" man="1"/>
    <brk id="275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20"/>
  <sheetViews>
    <sheetView view="pageBreakPreview" topLeftCell="A64" zoomScaleNormal="100" zoomScaleSheetLayoutView="100" workbookViewId="0">
      <selection activeCell="A67" sqref="A67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6" width="17.7109375" style="7" customWidth="1"/>
    <col min="7" max="7" width="8.85546875" style="7"/>
    <col min="8" max="8" width="13.7109375" style="7" customWidth="1"/>
    <col min="9" max="11" width="12.28515625" style="7" bestFit="1" customWidth="1"/>
    <col min="12" max="16384" width="8.85546875" style="7"/>
  </cols>
  <sheetData>
    <row r="1" spans="1:11" ht="18.75" x14ac:dyDescent="0.25">
      <c r="A1" s="237" t="s">
        <v>190</v>
      </c>
      <c r="B1" s="237"/>
      <c r="C1" s="237"/>
      <c r="D1" s="237"/>
      <c r="E1" s="237"/>
      <c r="F1" s="237"/>
    </row>
    <row r="2" spans="1:11" ht="18.75" x14ac:dyDescent="0.25">
      <c r="A2" s="237" t="s">
        <v>458</v>
      </c>
      <c r="B2" s="237"/>
      <c r="C2" s="237"/>
      <c r="D2" s="237"/>
      <c r="E2" s="237"/>
      <c r="F2" s="237"/>
    </row>
    <row r="3" spans="1:11" x14ac:dyDescent="0.25">
      <c r="A3" s="30"/>
    </row>
    <row r="4" spans="1:11" ht="19.5" thickBot="1" x14ac:dyDescent="0.3">
      <c r="A4" s="6"/>
      <c r="F4" s="6" t="s">
        <v>51</v>
      </c>
    </row>
    <row r="5" spans="1:11" ht="18.600000000000001" customHeight="1" x14ac:dyDescent="0.25">
      <c r="A5" s="229" t="s">
        <v>0</v>
      </c>
      <c r="B5" s="231" t="s">
        <v>45</v>
      </c>
      <c r="C5" s="233" t="s">
        <v>46</v>
      </c>
      <c r="D5" s="231" t="s">
        <v>1</v>
      </c>
      <c r="E5" s="231" t="s">
        <v>2</v>
      </c>
      <c r="F5" s="241"/>
    </row>
    <row r="6" spans="1:11" ht="126.75" thickBot="1" x14ac:dyDescent="0.3">
      <c r="A6" s="230"/>
      <c r="B6" s="232"/>
      <c r="C6" s="234"/>
      <c r="D6" s="232"/>
      <c r="E6" s="117" t="s">
        <v>3</v>
      </c>
      <c r="F6" s="38" t="s">
        <v>4</v>
      </c>
    </row>
    <row r="7" spans="1:11" ht="15.75" thickBot="1" x14ac:dyDescent="0.3">
      <c r="A7" s="43">
        <v>1</v>
      </c>
      <c r="B7" s="44">
        <v>2</v>
      </c>
      <c r="C7" s="44">
        <v>3</v>
      </c>
      <c r="D7" s="44">
        <v>4</v>
      </c>
      <c r="E7" s="44">
        <v>5</v>
      </c>
      <c r="F7" s="45">
        <v>6</v>
      </c>
    </row>
    <row r="8" spans="1:11" ht="56.25" x14ac:dyDescent="0.25">
      <c r="A8" s="39" t="s">
        <v>47</v>
      </c>
      <c r="B8" s="40" t="s">
        <v>5</v>
      </c>
      <c r="C8" s="40" t="s">
        <v>5</v>
      </c>
      <c r="D8" s="41">
        <f>E8+F8</f>
        <v>2356998.64</v>
      </c>
      <c r="E8" s="209">
        <v>2356998.64</v>
      </c>
      <c r="F8" s="42"/>
    </row>
    <row r="9" spans="1:11" ht="56.25" x14ac:dyDescent="0.25">
      <c r="A9" s="115" t="s">
        <v>48</v>
      </c>
      <c r="B9" s="119" t="s">
        <v>5</v>
      </c>
      <c r="C9" s="119" t="s">
        <v>5</v>
      </c>
      <c r="D9" s="5">
        <f>E9+F9</f>
        <v>4.6566128730773926E-10</v>
      </c>
      <c r="E9" s="210">
        <f>E8+E10-E25+E110</f>
        <v>4.6566128730773926E-10</v>
      </c>
      <c r="F9" s="5">
        <f>F8+F10-F25+F110</f>
        <v>0</v>
      </c>
    </row>
    <row r="10" spans="1:11" ht="18.75" x14ac:dyDescent="0.25">
      <c r="A10" s="115" t="s">
        <v>49</v>
      </c>
      <c r="B10" s="119" t="s">
        <v>5</v>
      </c>
      <c r="C10" s="119" t="s">
        <v>5</v>
      </c>
      <c r="D10" s="2">
        <f>E10+F10</f>
        <v>1661921.21</v>
      </c>
      <c r="E10" s="211">
        <f>E12+E13+E14+E15+E16+E17+E21</f>
        <v>1661921.21</v>
      </c>
      <c r="F10" s="4">
        <f>F12+F13+F14+F15+F16+F17+F21+F105</f>
        <v>0</v>
      </c>
      <c r="J10" s="50"/>
      <c r="K10" s="50"/>
    </row>
    <row r="11" spans="1:11" ht="18.75" x14ac:dyDescent="0.25">
      <c r="A11" s="115" t="s">
        <v>6</v>
      </c>
      <c r="B11" s="119"/>
      <c r="C11" s="119"/>
      <c r="D11" s="2"/>
      <c r="E11" s="211"/>
      <c r="F11" s="4"/>
      <c r="J11" s="50"/>
      <c r="K11" s="50"/>
    </row>
    <row r="12" spans="1:11" ht="37.5" x14ac:dyDescent="0.25">
      <c r="A12" s="115" t="s">
        <v>66</v>
      </c>
      <c r="B12" s="119">
        <v>120</v>
      </c>
      <c r="C12" s="119" t="s">
        <v>5</v>
      </c>
      <c r="D12" s="2">
        <f t="shared" ref="D12:D80" si="0">E12+F12</f>
        <v>0</v>
      </c>
      <c r="E12" s="211">
        <v>0</v>
      </c>
      <c r="F12" s="4"/>
      <c r="J12" s="50"/>
      <c r="K12" s="50"/>
    </row>
    <row r="13" spans="1:11" ht="93.75" x14ac:dyDescent="0.25">
      <c r="A13" s="115" t="s">
        <v>65</v>
      </c>
      <c r="B13" s="119">
        <v>130</v>
      </c>
      <c r="C13" s="119" t="s">
        <v>5</v>
      </c>
      <c r="D13" s="2">
        <f>E13+F13</f>
        <v>1657472</v>
      </c>
      <c r="E13" s="211">
        <f>193717+7500+1275655+17200+17200+146200</f>
        <v>1657472</v>
      </c>
      <c r="F13" s="4"/>
      <c r="J13" s="50"/>
      <c r="K13" s="50"/>
    </row>
    <row r="14" spans="1:11" ht="93.75" x14ac:dyDescent="0.25">
      <c r="A14" s="115" t="s">
        <v>64</v>
      </c>
      <c r="B14" s="119">
        <v>140</v>
      </c>
      <c r="C14" s="119" t="s">
        <v>5</v>
      </c>
      <c r="D14" s="2">
        <f t="shared" si="0"/>
        <v>4449.21</v>
      </c>
      <c r="E14" s="211">
        <f>1762.43+1560+93.33+62.7+970.75</f>
        <v>4449.21</v>
      </c>
      <c r="F14" s="4"/>
      <c r="J14" s="50"/>
      <c r="K14" s="50"/>
    </row>
    <row r="15" spans="1:11" ht="56.25" x14ac:dyDescent="0.25">
      <c r="A15" s="115" t="s">
        <v>63</v>
      </c>
      <c r="B15" s="119">
        <v>150</v>
      </c>
      <c r="C15" s="119" t="s">
        <v>5</v>
      </c>
      <c r="D15" s="2">
        <f t="shared" si="0"/>
        <v>0</v>
      </c>
      <c r="E15" s="211">
        <v>0</v>
      </c>
      <c r="F15" s="4"/>
    </row>
    <row r="16" spans="1:11" ht="18.75" x14ac:dyDescent="0.25">
      <c r="A16" s="115" t="s">
        <v>62</v>
      </c>
      <c r="B16" s="119">
        <v>180</v>
      </c>
      <c r="C16" s="119" t="s">
        <v>5</v>
      </c>
      <c r="D16" s="2">
        <f t="shared" si="0"/>
        <v>0</v>
      </c>
      <c r="E16" s="211"/>
      <c r="F16" s="4"/>
    </row>
    <row r="17" spans="1:6" ht="56.25" x14ac:dyDescent="0.25">
      <c r="A17" s="115" t="s">
        <v>61</v>
      </c>
      <c r="B17" s="119" t="s">
        <v>5</v>
      </c>
      <c r="C17" s="119" t="s">
        <v>5</v>
      </c>
      <c r="D17" s="2">
        <f t="shared" si="0"/>
        <v>0</v>
      </c>
      <c r="E17" s="211">
        <f t="shared" ref="E17:F17" si="1">E19+E20</f>
        <v>0</v>
      </c>
      <c r="F17" s="4">
        <f t="shared" si="1"/>
        <v>0</v>
      </c>
    </row>
    <row r="18" spans="1:6" ht="18.75" x14ac:dyDescent="0.25">
      <c r="A18" s="115" t="s">
        <v>6</v>
      </c>
      <c r="B18" s="119"/>
      <c r="C18" s="119"/>
      <c r="D18" s="2"/>
      <c r="E18" s="211"/>
      <c r="F18" s="4"/>
    </row>
    <row r="19" spans="1:6" ht="37.5" x14ac:dyDescent="0.25">
      <c r="A19" s="115" t="s">
        <v>71</v>
      </c>
      <c r="B19" s="119">
        <v>410</v>
      </c>
      <c r="C19" s="119" t="s">
        <v>5</v>
      </c>
      <c r="D19" s="2">
        <f t="shared" si="0"/>
        <v>0</v>
      </c>
      <c r="E19" s="211">
        <v>0</v>
      </c>
      <c r="F19" s="4"/>
    </row>
    <row r="20" spans="1:6" ht="56.25" x14ac:dyDescent="0.25">
      <c r="A20" s="115" t="s">
        <v>72</v>
      </c>
      <c r="B20" s="119">
        <v>440</v>
      </c>
      <c r="C20" s="119" t="s">
        <v>5</v>
      </c>
      <c r="D20" s="2">
        <f t="shared" si="0"/>
        <v>0</v>
      </c>
      <c r="E20" s="211">
        <v>0</v>
      </c>
      <c r="F20" s="4"/>
    </row>
    <row r="21" spans="1:6" ht="37.5" x14ac:dyDescent="0.25">
      <c r="A21" s="115" t="s">
        <v>50</v>
      </c>
      <c r="B21" s="119" t="s">
        <v>5</v>
      </c>
      <c r="C21" s="119" t="s">
        <v>5</v>
      </c>
      <c r="D21" s="2">
        <f t="shared" si="0"/>
        <v>0</v>
      </c>
      <c r="E21" s="211">
        <f t="shared" ref="E21:F21" si="2">E23+E24</f>
        <v>0</v>
      </c>
      <c r="F21" s="4">
        <f t="shared" si="2"/>
        <v>0</v>
      </c>
    </row>
    <row r="22" spans="1:6" ht="18.75" x14ac:dyDescent="0.25">
      <c r="A22" s="115" t="s">
        <v>9</v>
      </c>
      <c r="B22" s="119"/>
      <c r="C22" s="119"/>
      <c r="D22" s="2"/>
      <c r="E22" s="211"/>
      <c r="F22" s="4"/>
    </row>
    <row r="23" spans="1:6" ht="136.9" customHeight="1" x14ac:dyDescent="0.25">
      <c r="A23" s="115" t="s">
        <v>70</v>
      </c>
      <c r="B23" s="119">
        <v>510</v>
      </c>
      <c r="C23" s="119" t="s">
        <v>5</v>
      </c>
      <c r="D23" s="2">
        <f t="shared" si="0"/>
        <v>0</v>
      </c>
      <c r="E23" s="211">
        <v>0</v>
      </c>
      <c r="F23" s="4"/>
    </row>
    <row r="24" spans="1:6" ht="198" customHeight="1" x14ac:dyDescent="0.25">
      <c r="A24" s="115" t="s">
        <v>273</v>
      </c>
      <c r="B24" s="119">
        <v>510</v>
      </c>
      <c r="C24" s="119" t="s">
        <v>5</v>
      </c>
      <c r="D24" s="2">
        <f t="shared" si="0"/>
        <v>0</v>
      </c>
      <c r="E24" s="211">
        <v>0</v>
      </c>
      <c r="F24" s="4"/>
    </row>
    <row r="25" spans="1:6" ht="18.75" x14ac:dyDescent="0.25">
      <c r="A25" s="115" t="s">
        <v>7</v>
      </c>
      <c r="B25" s="119" t="s">
        <v>5</v>
      </c>
      <c r="C25" s="119">
        <v>900</v>
      </c>
      <c r="D25" s="5">
        <f t="shared" si="0"/>
        <v>4018919.8499999996</v>
      </c>
      <c r="E25" s="211">
        <f>E27+E96</f>
        <v>4018919.8499999996</v>
      </c>
      <c r="F25" s="2">
        <f>F27+F96</f>
        <v>0</v>
      </c>
    </row>
    <row r="26" spans="1:6" ht="18.75" x14ac:dyDescent="0.25">
      <c r="A26" s="115" t="s">
        <v>6</v>
      </c>
      <c r="B26" s="119"/>
      <c r="C26" s="119"/>
      <c r="D26" s="5"/>
      <c r="E26" s="211"/>
      <c r="F26" s="2"/>
    </row>
    <row r="27" spans="1:6" ht="18.75" x14ac:dyDescent="0.25">
      <c r="A27" s="115" t="s">
        <v>8</v>
      </c>
      <c r="B27" s="119" t="s">
        <v>5</v>
      </c>
      <c r="C27" s="119">
        <v>200</v>
      </c>
      <c r="D27" s="5">
        <f t="shared" si="0"/>
        <v>1233683.6299999999</v>
      </c>
      <c r="E27" s="211">
        <f>E29+E37+E66+E75</f>
        <v>1233683.6299999999</v>
      </c>
      <c r="F27" s="2">
        <f>F29+F37+F66+F75</f>
        <v>0</v>
      </c>
    </row>
    <row r="28" spans="1:6" ht="14.45" customHeight="1" x14ac:dyDescent="0.25">
      <c r="A28" s="115" t="s">
        <v>9</v>
      </c>
      <c r="B28" s="119"/>
      <c r="C28" s="119"/>
      <c r="D28" s="5"/>
      <c r="E28" s="211"/>
      <c r="F28" s="2"/>
    </row>
    <row r="29" spans="1:6" ht="75" x14ac:dyDescent="0.25">
      <c r="A29" s="115" t="s">
        <v>10</v>
      </c>
      <c r="B29" s="119" t="s">
        <v>5</v>
      </c>
      <c r="C29" s="119">
        <v>210</v>
      </c>
      <c r="D29" s="5">
        <f t="shared" si="0"/>
        <v>1083433.6299999999</v>
      </c>
      <c r="E29" s="211">
        <f>E31+E32+E33+E34</f>
        <v>1083433.6299999999</v>
      </c>
      <c r="F29" s="2">
        <f>F31+F32+F33+F34</f>
        <v>0</v>
      </c>
    </row>
    <row r="30" spans="1:6" ht="18.75" x14ac:dyDescent="0.25">
      <c r="A30" s="115" t="s">
        <v>9</v>
      </c>
      <c r="B30" s="119"/>
      <c r="C30" s="119"/>
      <c r="D30" s="5"/>
      <c r="E30" s="211"/>
      <c r="F30" s="2"/>
    </row>
    <row r="31" spans="1:6" ht="18.75" x14ac:dyDescent="0.25">
      <c r="A31" s="115" t="s">
        <v>11</v>
      </c>
      <c r="B31" s="119">
        <v>111</v>
      </c>
      <c r="C31" s="119">
        <v>211</v>
      </c>
      <c r="D31" s="5">
        <f t="shared" si="0"/>
        <v>832130.08</v>
      </c>
      <c r="E31" s="211">
        <f>832130.08</f>
        <v>832130.08</v>
      </c>
      <c r="F31" s="2"/>
    </row>
    <row r="32" spans="1:6" ht="75" x14ac:dyDescent="0.25">
      <c r="A32" s="115" t="s">
        <v>12</v>
      </c>
      <c r="B32" s="119">
        <v>112</v>
      </c>
      <c r="C32" s="119">
        <v>212</v>
      </c>
      <c r="D32" s="5">
        <f t="shared" si="0"/>
        <v>0</v>
      </c>
      <c r="E32" s="211">
        <v>0</v>
      </c>
      <c r="F32" s="2"/>
    </row>
    <row r="33" spans="1:6" ht="56.25" x14ac:dyDescent="0.25">
      <c r="A33" s="115" t="s">
        <v>13</v>
      </c>
      <c r="B33" s="119">
        <v>119</v>
      </c>
      <c r="C33" s="119">
        <v>213</v>
      </c>
      <c r="D33" s="5">
        <f t="shared" si="0"/>
        <v>251303.55</v>
      </c>
      <c r="E33" s="211">
        <v>251303.55</v>
      </c>
      <c r="F33" s="2"/>
    </row>
    <row r="34" spans="1:6" ht="93.75" x14ac:dyDescent="0.25">
      <c r="A34" s="115" t="s">
        <v>201</v>
      </c>
      <c r="B34" s="119" t="s">
        <v>5</v>
      </c>
      <c r="C34" s="119">
        <v>214</v>
      </c>
      <c r="D34" s="5">
        <f>E34+F34</f>
        <v>0</v>
      </c>
      <c r="E34" s="211">
        <f>E35+E36</f>
        <v>0</v>
      </c>
      <c r="F34" s="2">
        <f>F35+F36</f>
        <v>0</v>
      </c>
    </row>
    <row r="35" spans="1:6" ht="18.75" x14ac:dyDescent="0.25">
      <c r="A35" s="235" t="s">
        <v>6</v>
      </c>
      <c r="B35" s="119">
        <v>112</v>
      </c>
      <c r="C35" s="119">
        <v>214</v>
      </c>
      <c r="D35" s="5">
        <f t="shared" si="0"/>
        <v>0</v>
      </c>
      <c r="E35" s="211">
        <v>0</v>
      </c>
      <c r="F35" s="2"/>
    </row>
    <row r="36" spans="1:6" ht="14.45" customHeight="1" x14ac:dyDescent="0.25">
      <c r="A36" s="236"/>
      <c r="B36" s="119">
        <v>244</v>
      </c>
      <c r="C36" s="119">
        <v>214</v>
      </c>
      <c r="D36" s="5">
        <v>0</v>
      </c>
      <c r="E36" s="211">
        <v>0</v>
      </c>
      <c r="F36" s="2"/>
    </row>
    <row r="37" spans="1:6" ht="37.5" x14ac:dyDescent="0.25">
      <c r="A37" s="115" t="s">
        <v>14</v>
      </c>
      <c r="B37" s="119" t="s">
        <v>5</v>
      </c>
      <c r="C37" s="119">
        <v>220</v>
      </c>
      <c r="D37" s="5">
        <f t="shared" si="0"/>
        <v>106750</v>
      </c>
      <c r="E37" s="211">
        <f>E39+E40+E43+E54+E55+E58+E64+E65</f>
        <v>106750</v>
      </c>
      <c r="F37" s="2">
        <f>F39+F40+F43+F54+F55+F58+F64</f>
        <v>0</v>
      </c>
    </row>
    <row r="38" spans="1:6" ht="18.75" x14ac:dyDescent="0.25">
      <c r="A38" s="115" t="s">
        <v>9</v>
      </c>
      <c r="B38" s="119"/>
      <c r="C38" s="119"/>
      <c r="D38" s="5"/>
      <c r="E38" s="211"/>
      <c r="F38" s="2"/>
    </row>
    <row r="39" spans="1:6" ht="18.75" x14ac:dyDescent="0.25">
      <c r="A39" s="115" t="s">
        <v>15</v>
      </c>
      <c r="B39" s="119">
        <v>244</v>
      </c>
      <c r="C39" s="119">
        <v>221</v>
      </c>
      <c r="D39" s="5">
        <f t="shared" si="0"/>
        <v>0</v>
      </c>
      <c r="E39" s="211">
        <v>0</v>
      </c>
      <c r="F39" s="2"/>
    </row>
    <row r="40" spans="1:6" ht="37.5" x14ac:dyDescent="0.25">
      <c r="A40" s="115" t="s">
        <v>16</v>
      </c>
      <c r="B40" s="119" t="s">
        <v>5</v>
      </c>
      <c r="C40" s="119">
        <v>222</v>
      </c>
      <c r="D40" s="5">
        <f t="shared" si="0"/>
        <v>0</v>
      </c>
      <c r="E40" s="211">
        <f>E41+E42</f>
        <v>0</v>
      </c>
      <c r="F40" s="2">
        <f>F41+F42</f>
        <v>0</v>
      </c>
    </row>
    <row r="41" spans="1:6" ht="22.9" customHeight="1" x14ac:dyDescent="0.25">
      <c r="A41" s="221" t="s">
        <v>6</v>
      </c>
      <c r="B41" s="119">
        <v>112</v>
      </c>
      <c r="C41" s="119">
        <v>222</v>
      </c>
      <c r="D41" s="5">
        <f t="shared" si="0"/>
        <v>0</v>
      </c>
      <c r="E41" s="211">
        <v>0</v>
      </c>
      <c r="F41" s="2"/>
    </row>
    <row r="42" spans="1:6" ht="18.75" x14ac:dyDescent="0.25">
      <c r="A42" s="221"/>
      <c r="B42" s="119">
        <v>244</v>
      </c>
      <c r="C42" s="119">
        <v>222</v>
      </c>
      <c r="D42" s="5">
        <f t="shared" si="0"/>
        <v>0</v>
      </c>
      <c r="E42" s="211">
        <v>0</v>
      </c>
      <c r="F42" s="2"/>
    </row>
    <row r="43" spans="1:6" ht="37.5" x14ac:dyDescent="0.25">
      <c r="A43" s="115" t="s">
        <v>17</v>
      </c>
      <c r="B43" s="119" t="s">
        <v>5</v>
      </c>
      <c r="C43" s="119">
        <v>223</v>
      </c>
      <c r="D43" s="5">
        <f t="shared" si="0"/>
        <v>0</v>
      </c>
      <c r="E43" s="211">
        <f t="shared" ref="E43:F43" si="3">E46+E48+E50+E51+E52</f>
        <v>0</v>
      </c>
      <c r="F43" s="2">
        <f t="shared" si="3"/>
        <v>0</v>
      </c>
    </row>
    <row r="44" spans="1:6" ht="18.75" x14ac:dyDescent="0.25">
      <c r="A44" s="115" t="s">
        <v>6</v>
      </c>
      <c r="B44" s="119"/>
      <c r="C44" s="119"/>
      <c r="D44" s="5"/>
      <c r="E44" s="211"/>
      <c r="F44" s="2"/>
    </row>
    <row r="45" spans="1:6" ht="56.25" x14ac:dyDescent="0.25">
      <c r="A45" s="190" t="s">
        <v>18</v>
      </c>
      <c r="B45" s="191">
        <v>244</v>
      </c>
      <c r="C45" s="191">
        <v>223</v>
      </c>
      <c r="D45" s="5">
        <f t="shared" ref="D45" si="4">E45+F45</f>
        <v>0</v>
      </c>
      <c r="E45" s="211">
        <v>0</v>
      </c>
      <c r="F45" s="2"/>
    </row>
    <row r="46" spans="1:6" ht="56.25" x14ac:dyDescent="0.25">
      <c r="A46" s="115" t="s">
        <v>18</v>
      </c>
      <c r="B46" s="119">
        <v>247</v>
      </c>
      <c r="C46" s="119">
        <v>223</v>
      </c>
      <c r="D46" s="5">
        <f t="shared" si="0"/>
        <v>0</v>
      </c>
      <c r="E46" s="211">
        <v>0</v>
      </c>
      <c r="F46" s="2"/>
    </row>
    <row r="47" spans="1:6" ht="37.5" x14ac:dyDescent="0.25">
      <c r="A47" s="190" t="s">
        <v>19</v>
      </c>
      <c r="B47" s="191">
        <v>244</v>
      </c>
      <c r="C47" s="191">
        <v>223</v>
      </c>
      <c r="D47" s="5">
        <f t="shared" ref="D47" si="5">E47+F47</f>
        <v>0</v>
      </c>
      <c r="E47" s="211">
        <v>0</v>
      </c>
      <c r="F47" s="2"/>
    </row>
    <row r="48" spans="1:6" ht="37.5" x14ac:dyDescent="0.25">
      <c r="A48" s="115" t="s">
        <v>19</v>
      </c>
      <c r="B48" s="119">
        <v>247</v>
      </c>
      <c r="C48" s="119">
        <v>223</v>
      </c>
      <c r="D48" s="5">
        <f t="shared" si="0"/>
        <v>0</v>
      </c>
      <c r="E48" s="211">
        <f>32970.52-32970.52</f>
        <v>0</v>
      </c>
      <c r="F48" s="2"/>
    </row>
    <row r="49" spans="1:6" ht="75" x14ac:dyDescent="0.25">
      <c r="A49" s="190" t="s">
        <v>20</v>
      </c>
      <c r="B49" s="191">
        <v>244</v>
      </c>
      <c r="C49" s="191">
        <v>223</v>
      </c>
      <c r="D49" s="5">
        <f t="shared" ref="D49" si="6">E49+F49</f>
        <v>0</v>
      </c>
      <c r="E49" s="211">
        <v>0</v>
      </c>
      <c r="F49" s="2"/>
    </row>
    <row r="50" spans="1:6" ht="63" customHeight="1" x14ac:dyDescent="0.25">
      <c r="A50" s="115" t="s">
        <v>20</v>
      </c>
      <c r="B50" s="119">
        <v>247</v>
      </c>
      <c r="C50" s="119">
        <v>223</v>
      </c>
      <c r="D50" s="5">
        <f t="shared" si="0"/>
        <v>0</v>
      </c>
      <c r="E50" s="211">
        <v>0</v>
      </c>
      <c r="F50" s="2"/>
    </row>
    <row r="51" spans="1:6" ht="75" x14ac:dyDescent="0.25">
      <c r="A51" s="115" t="s">
        <v>21</v>
      </c>
      <c r="B51" s="119">
        <v>244</v>
      </c>
      <c r="C51" s="119">
        <v>223</v>
      </c>
      <c r="D51" s="5">
        <f t="shared" si="0"/>
        <v>0</v>
      </c>
      <c r="E51" s="211">
        <v>0</v>
      </c>
      <c r="F51" s="2"/>
    </row>
    <row r="52" spans="1:6" ht="56.25" x14ac:dyDescent="0.25">
      <c r="A52" s="115" t="s">
        <v>22</v>
      </c>
      <c r="B52" s="119">
        <v>244</v>
      </c>
      <c r="C52" s="119">
        <v>223</v>
      </c>
      <c r="D52" s="5">
        <f t="shared" si="0"/>
        <v>0</v>
      </c>
      <c r="E52" s="211">
        <v>0</v>
      </c>
      <c r="F52" s="2"/>
    </row>
    <row r="53" spans="1:6" ht="56.25" x14ac:dyDescent="0.25">
      <c r="A53" s="195" t="s">
        <v>442</v>
      </c>
      <c r="B53" s="196">
        <v>244</v>
      </c>
      <c r="C53" s="196">
        <v>223</v>
      </c>
      <c r="D53" s="5">
        <f t="shared" ref="D53" si="7">E53+F53</f>
        <v>0</v>
      </c>
      <c r="E53" s="211">
        <v>0</v>
      </c>
      <c r="F53" s="2"/>
    </row>
    <row r="54" spans="1:6" ht="168.75" x14ac:dyDescent="0.25">
      <c r="A54" s="115" t="s">
        <v>23</v>
      </c>
      <c r="B54" s="119">
        <v>244</v>
      </c>
      <c r="C54" s="119">
        <v>224</v>
      </c>
      <c r="D54" s="5">
        <f t="shared" si="0"/>
        <v>0</v>
      </c>
      <c r="E54" s="211">
        <v>0</v>
      </c>
      <c r="F54" s="2"/>
    </row>
    <row r="55" spans="1:6" ht="56.25" x14ac:dyDescent="0.25">
      <c r="A55" s="115" t="s">
        <v>24</v>
      </c>
      <c r="B55" s="119" t="s">
        <v>5</v>
      </c>
      <c r="C55" s="119">
        <v>225</v>
      </c>
      <c r="D55" s="2">
        <f t="shared" ref="D55:F55" si="8">D56+D57</f>
        <v>10560</v>
      </c>
      <c r="E55" s="211">
        <f>E56+E57</f>
        <v>10560</v>
      </c>
      <c r="F55" s="2">
        <f t="shared" si="8"/>
        <v>0</v>
      </c>
    </row>
    <row r="56" spans="1:6" ht="18.75" x14ac:dyDescent="0.25">
      <c r="A56" s="221" t="s">
        <v>6</v>
      </c>
      <c r="B56" s="119">
        <v>243</v>
      </c>
      <c r="C56" s="119">
        <v>225</v>
      </c>
      <c r="D56" s="5">
        <f t="shared" si="0"/>
        <v>0</v>
      </c>
      <c r="E56" s="211">
        <v>0</v>
      </c>
      <c r="F56" s="2"/>
    </row>
    <row r="57" spans="1:6" ht="18.75" x14ac:dyDescent="0.25">
      <c r="A57" s="221"/>
      <c r="B57" s="119">
        <v>244</v>
      </c>
      <c r="C57" s="119">
        <v>225</v>
      </c>
      <c r="D57" s="5">
        <f t="shared" si="0"/>
        <v>10560</v>
      </c>
      <c r="E57" s="211">
        <f>9000+1560</f>
        <v>10560</v>
      </c>
      <c r="F57" s="2"/>
    </row>
    <row r="58" spans="1:6" ht="37.5" x14ac:dyDescent="0.25">
      <c r="A58" s="115" t="s">
        <v>58</v>
      </c>
      <c r="B58" s="119" t="s">
        <v>5</v>
      </c>
      <c r="C58" s="119">
        <v>226</v>
      </c>
      <c r="D58" s="5">
        <f t="shared" si="0"/>
        <v>96190</v>
      </c>
      <c r="E58" s="211">
        <f>E59+E60+E62+E63+E61</f>
        <v>96190</v>
      </c>
      <c r="F58" s="2">
        <f>F59+F60+F62+F63+F61</f>
        <v>0</v>
      </c>
    </row>
    <row r="59" spans="1:6" ht="18.75" x14ac:dyDescent="0.25">
      <c r="A59" s="221" t="s">
        <v>6</v>
      </c>
      <c r="B59" s="119">
        <v>112</v>
      </c>
      <c r="C59" s="119">
        <v>226</v>
      </c>
      <c r="D59" s="5">
        <f t="shared" si="0"/>
        <v>80000</v>
      </c>
      <c r="E59" s="211">
        <f>35302+44698</f>
        <v>80000</v>
      </c>
      <c r="F59" s="2"/>
    </row>
    <row r="60" spans="1:6" ht="18.75" x14ac:dyDescent="0.25">
      <c r="A60" s="221"/>
      <c r="B60" s="119">
        <v>113</v>
      </c>
      <c r="C60" s="119">
        <v>226</v>
      </c>
      <c r="D60" s="5">
        <f t="shared" si="0"/>
        <v>0</v>
      </c>
      <c r="E60" s="211">
        <v>0</v>
      </c>
      <c r="F60" s="2"/>
    </row>
    <row r="61" spans="1:6" ht="18.75" x14ac:dyDescent="0.25">
      <c r="A61" s="221"/>
      <c r="B61" s="119">
        <v>119</v>
      </c>
      <c r="C61" s="119">
        <v>226</v>
      </c>
      <c r="D61" s="5">
        <f t="shared" si="0"/>
        <v>0</v>
      </c>
      <c r="E61" s="211">
        <v>0</v>
      </c>
      <c r="F61" s="2"/>
    </row>
    <row r="62" spans="1:6" ht="18.75" x14ac:dyDescent="0.25">
      <c r="A62" s="221"/>
      <c r="B62" s="119">
        <v>243</v>
      </c>
      <c r="C62" s="119">
        <v>226</v>
      </c>
      <c r="D62" s="5">
        <f t="shared" si="0"/>
        <v>0</v>
      </c>
      <c r="E62" s="211">
        <v>0</v>
      </c>
      <c r="F62" s="2"/>
    </row>
    <row r="63" spans="1:6" ht="18.75" x14ac:dyDescent="0.25">
      <c r="A63" s="221"/>
      <c r="B63" s="119">
        <v>244</v>
      </c>
      <c r="C63" s="119">
        <v>226</v>
      </c>
      <c r="D63" s="5">
        <f t="shared" si="0"/>
        <v>16190</v>
      </c>
      <c r="E63" s="211">
        <v>16190</v>
      </c>
      <c r="F63" s="2"/>
    </row>
    <row r="64" spans="1:6" ht="18.75" x14ac:dyDescent="0.25">
      <c r="A64" s="115" t="s">
        <v>25</v>
      </c>
      <c r="B64" s="119">
        <v>244</v>
      </c>
      <c r="C64" s="119">
        <v>227</v>
      </c>
      <c r="D64" s="5">
        <f t="shared" si="0"/>
        <v>0</v>
      </c>
      <c r="E64" s="211">
        <v>0</v>
      </c>
      <c r="F64" s="2"/>
    </row>
    <row r="65" spans="1:6" ht="56.25" x14ac:dyDescent="0.25">
      <c r="A65" s="170" t="s">
        <v>345</v>
      </c>
      <c r="B65" s="171">
        <v>244</v>
      </c>
      <c r="C65" s="171">
        <v>228</v>
      </c>
      <c r="D65" s="5">
        <f t="shared" ref="D65" si="9">E65+F65</f>
        <v>0</v>
      </c>
      <c r="E65" s="211">
        <v>0</v>
      </c>
      <c r="F65" s="2"/>
    </row>
    <row r="66" spans="1:6" ht="37.5" x14ac:dyDescent="0.25">
      <c r="A66" s="115" t="s">
        <v>26</v>
      </c>
      <c r="B66" s="119" t="s">
        <v>5</v>
      </c>
      <c r="C66" s="119">
        <v>260</v>
      </c>
      <c r="D66" s="5">
        <f t="shared" si="0"/>
        <v>0</v>
      </c>
      <c r="E66" s="211">
        <f>E67+E68+E69+E70+E74</f>
        <v>0</v>
      </c>
      <c r="F66" s="2">
        <f>F68+F70+F74</f>
        <v>0</v>
      </c>
    </row>
    <row r="67" spans="1:6" ht="93.75" x14ac:dyDescent="0.25">
      <c r="A67" s="219" t="s">
        <v>501</v>
      </c>
      <c r="B67" s="220">
        <v>323</v>
      </c>
      <c r="C67" s="220">
        <v>263</v>
      </c>
      <c r="D67" s="5"/>
      <c r="E67" s="211"/>
      <c r="F67" s="2"/>
    </row>
    <row r="68" spans="1:6" ht="112.5" x14ac:dyDescent="0.25">
      <c r="A68" s="115" t="s">
        <v>27</v>
      </c>
      <c r="B68" s="119">
        <v>321</v>
      </c>
      <c r="C68" s="119">
        <v>264</v>
      </c>
      <c r="D68" s="5">
        <f t="shared" si="0"/>
        <v>0</v>
      </c>
      <c r="E68" s="211">
        <v>0</v>
      </c>
      <c r="F68" s="2"/>
    </row>
    <row r="69" spans="1:6" ht="168.75" x14ac:dyDescent="0.25">
      <c r="A69" s="193" t="s">
        <v>441</v>
      </c>
      <c r="B69" s="194">
        <v>119</v>
      </c>
      <c r="C69" s="194">
        <v>265</v>
      </c>
      <c r="D69" s="5">
        <f t="shared" ref="D69" si="10">E69+F69</f>
        <v>0</v>
      </c>
      <c r="E69" s="211">
        <v>0</v>
      </c>
      <c r="F69" s="2"/>
    </row>
    <row r="70" spans="1:6" ht="93.75" x14ac:dyDescent="0.25">
      <c r="A70" s="115" t="s">
        <v>28</v>
      </c>
      <c r="B70" s="119" t="s">
        <v>5</v>
      </c>
      <c r="C70" s="119">
        <v>266</v>
      </c>
      <c r="D70" s="5">
        <f t="shared" si="0"/>
        <v>0</v>
      </c>
      <c r="E70" s="211">
        <f t="shared" ref="E70:F70" si="11">E71+E72</f>
        <v>0</v>
      </c>
      <c r="F70" s="2">
        <f t="shared" si="11"/>
        <v>0</v>
      </c>
    </row>
    <row r="71" spans="1:6" ht="18.75" x14ac:dyDescent="0.25">
      <c r="A71" s="221" t="s">
        <v>6</v>
      </c>
      <c r="B71" s="119">
        <v>111</v>
      </c>
      <c r="C71" s="119">
        <v>266</v>
      </c>
      <c r="D71" s="5">
        <f t="shared" si="0"/>
        <v>0</v>
      </c>
      <c r="E71" s="211">
        <v>0</v>
      </c>
      <c r="F71" s="2"/>
    </row>
    <row r="72" spans="1:6" ht="18.75" x14ac:dyDescent="0.25">
      <c r="A72" s="221"/>
      <c r="B72" s="119">
        <v>112</v>
      </c>
      <c r="C72" s="119">
        <v>266</v>
      </c>
      <c r="D72" s="5">
        <f t="shared" si="0"/>
        <v>0</v>
      </c>
      <c r="E72" s="211">
        <v>0</v>
      </c>
      <c r="F72" s="2"/>
    </row>
    <row r="73" spans="1:6" ht="18.75" x14ac:dyDescent="0.25">
      <c r="A73" s="219"/>
      <c r="B73" s="220">
        <v>119</v>
      </c>
      <c r="C73" s="220">
        <v>266</v>
      </c>
      <c r="D73" s="5">
        <f t="shared" ref="D73" si="12">E73+F73</f>
        <v>0</v>
      </c>
      <c r="E73" s="211">
        <v>0</v>
      </c>
      <c r="F73" s="2"/>
    </row>
    <row r="74" spans="1:6" ht="75" x14ac:dyDescent="0.25">
      <c r="A74" s="115" t="s">
        <v>29</v>
      </c>
      <c r="B74" s="119">
        <v>112</v>
      </c>
      <c r="C74" s="119">
        <v>267</v>
      </c>
      <c r="D74" s="5">
        <f t="shared" si="0"/>
        <v>0</v>
      </c>
      <c r="E74" s="211">
        <v>0</v>
      </c>
      <c r="F74" s="2"/>
    </row>
    <row r="75" spans="1:6" ht="18.75" x14ac:dyDescent="0.25">
      <c r="A75" s="115" t="s">
        <v>30</v>
      </c>
      <c r="B75" s="119" t="s">
        <v>5</v>
      </c>
      <c r="C75" s="119">
        <v>290</v>
      </c>
      <c r="D75" s="5">
        <f t="shared" si="0"/>
        <v>43500</v>
      </c>
      <c r="E75" s="211">
        <f>E77+E81+E82+E83+E84+E91</f>
        <v>43500</v>
      </c>
      <c r="F75" s="2">
        <f>F77+F81+F82+F83+F84+F91</f>
        <v>0</v>
      </c>
    </row>
    <row r="76" spans="1:6" ht="18.75" x14ac:dyDescent="0.25">
      <c r="A76" s="115" t="s">
        <v>9</v>
      </c>
      <c r="B76" s="119"/>
      <c r="C76" s="119"/>
      <c r="D76" s="5">
        <f t="shared" si="0"/>
        <v>0</v>
      </c>
      <c r="E76" s="211"/>
      <c r="F76" s="2"/>
    </row>
    <row r="77" spans="1:6" ht="37.5" x14ac:dyDescent="0.25">
      <c r="A77" s="115" t="s">
        <v>31</v>
      </c>
      <c r="B77" s="119" t="s">
        <v>5</v>
      </c>
      <c r="C77" s="119">
        <v>291</v>
      </c>
      <c r="D77" s="5">
        <f t="shared" si="0"/>
        <v>3000</v>
      </c>
      <c r="E77" s="211">
        <f t="shared" ref="E77:F77" si="13">E78+E79+E80</f>
        <v>3000</v>
      </c>
      <c r="F77" s="2">
        <f t="shared" si="13"/>
        <v>0</v>
      </c>
    </row>
    <row r="78" spans="1:6" ht="18.75" x14ac:dyDescent="0.25">
      <c r="A78" s="221" t="s">
        <v>6</v>
      </c>
      <c r="B78" s="119">
        <v>851</v>
      </c>
      <c r="C78" s="119">
        <v>291</v>
      </c>
      <c r="D78" s="5">
        <f t="shared" si="0"/>
        <v>0</v>
      </c>
      <c r="E78" s="211">
        <v>0</v>
      </c>
      <c r="F78" s="2"/>
    </row>
    <row r="79" spans="1:6" ht="18.75" x14ac:dyDescent="0.25">
      <c r="A79" s="221"/>
      <c r="B79" s="119">
        <v>852</v>
      </c>
      <c r="C79" s="119">
        <v>291</v>
      </c>
      <c r="D79" s="5">
        <f t="shared" si="0"/>
        <v>3000</v>
      </c>
      <c r="E79" s="211">
        <f>3000</f>
        <v>3000</v>
      </c>
      <c r="F79" s="2"/>
    </row>
    <row r="80" spans="1:6" ht="18.75" x14ac:dyDescent="0.25">
      <c r="A80" s="221"/>
      <c r="B80" s="119">
        <v>853</v>
      </c>
      <c r="C80" s="119">
        <v>291</v>
      </c>
      <c r="D80" s="5">
        <f t="shared" si="0"/>
        <v>0</v>
      </c>
      <c r="E80" s="211">
        <v>0</v>
      </c>
      <c r="F80" s="2"/>
    </row>
    <row r="81" spans="1:6" ht="112.5" x14ac:dyDescent="0.25">
      <c r="A81" s="115" t="s">
        <v>32</v>
      </c>
      <c r="B81" s="119">
        <v>853</v>
      </c>
      <c r="C81" s="119">
        <v>292</v>
      </c>
      <c r="D81" s="5">
        <f t="shared" ref="D81:D114" si="14">E81+F81</f>
        <v>0</v>
      </c>
      <c r="E81" s="211">
        <v>0</v>
      </c>
      <c r="F81" s="2">
        <v>0</v>
      </c>
    </row>
    <row r="82" spans="1:6" ht="131.25" x14ac:dyDescent="0.25">
      <c r="A82" s="115" t="s">
        <v>33</v>
      </c>
      <c r="B82" s="119">
        <v>853</v>
      </c>
      <c r="C82" s="119">
        <v>293</v>
      </c>
      <c r="D82" s="5">
        <f t="shared" si="14"/>
        <v>0</v>
      </c>
      <c r="E82" s="211">
        <v>0</v>
      </c>
      <c r="F82" s="2">
        <v>0</v>
      </c>
    </row>
    <row r="83" spans="1:6" ht="56.25" x14ac:dyDescent="0.25">
      <c r="A83" s="115" t="s">
        <v>158</v>
      </c>
      <c r="B83" s="119">
        <v>853</v>
      </c>
      <c r="C83" s="119">
        <v>295</v>
      </c>
      <c r="D83" s="5">
        <f t="shared" si="14"/>
        <v>0</v>
      </c>
      <c r="E83" s="211">
        <v>0</v>
      </c>
      <c r="F83" s="2">
        <v>0</v>
      </c>
    </row>
    <row r="84" spans="1:6" ht="56.25" x14ac:dyDescent="0.25">
      <c r="A84" s="115" t="s">
        <v>34</v>
      </c>
      <c r="B84" s="119" t="s">
        <v>5</v>
      </c>
      <c r="C84" s="119">
        <v>296</v>
      </c>
      <c r="D84" s="5">
        <f>E84+F84</f>
        <v>0</v>
      </c>
      <c r="E84" s="211">
        <f>E85+E86+E87+E88+E90+E89</f>
        <v>0</v>
      </c>
      <c r="F84" s="2">
        <f t="shared" ref="F84" si="15">F85+F86+F87+F88+F90</f>
        <v>0</v>
      </c>
    </row>
    <row r="85" spans="1:6" ht="18.75" x14ac:dyDescent="0.25">
      <c r="A85" s="221" t="s">
        <v>6</v>
      </c>
      <c r="B85" s="119">
        <v>244</v>
      </c>
      <c r="C85" s="119">
        <v>296</v>
      </c>
      <c r="D85" s="5">
        <f t="shared" si="14"/>
        <v>0</v>
      </c>
      <c r="E85" s="211">
        <v>0</v>
      </c>
      <c r="F85" s="2"/>
    </row>
    <row r="86" spans="1:6" ht="18.75" x14ac:dyDescent="0.25">
      <c r="A86" s="221"/>
      <c r="B86" s="119">
        <v>340</v>
      </c>
      <c r="C86" s="119">
        <v>296</v>
      </c>
      <c r="D86" s="5">
        <f t="shared" si="14"/>
        <v>0</v>
      </c>
      <c r="E86" s="211">
        <v>0</v>
      </c>
      <c r="F86" s="2"/>
    </row>
    <row r="87" spans="1:6" ht="18.75" x14ac:dyDescent="0.25">
      <c r="A87" s="221"/>
      <c r="B87" s="119">
        <v>350</v>
      </c>
      <c r="C87" s="119">
        <v>296</v>
      </c>
      <c r="D87" s="5">
        <f t="shared" si="14"/>
        <v>0</v>
      </c>
      <c r="E87" s="211">
        <v>0</v>
      </c>
      <c r="F87" s="2"/>
    </row>
    <row r="88" spans="1:6" ht="18.75" x14ac:dyDescent="0.25">
      <c r="A88" s="221"/>
      <c r="B88" s="119">
        <v>360</v>
      </c>
      <c r="C88" s="119">
        <v>296</v>
      </c>
      <c r="D88" s="5">
        <f t="shared" si="14"/>
        <v>0</v>
      </c>
      <c r="E88" s="211">
        <v>0</v>
      </c>
      <c r="F88" s="2"/>
    </row>
    <row r="89" spans="1:6" ht="18.75" x14ac:dyDescent="0.25">
      <c r="A89" s="221"/>
      <c r="B89" s="215">
        <v>831</v>
      </c>
      <c r="C89" s="215">
        <v>296</v>
      </c>
      <c r="D89" s="5">
        <f t="shared" ref="D89" si="16">E89+F89</f>
        <v>0</v>
      </c>
      <c r="E89" s="211">
        <v>0</v>
      </c>
      <c r="F89" s="2"/>
    </row>
    <row r="90" spans="1:6" ht="18.75" x14ac:dyDescent="0.25">
      <c r="A90" s="221"/>
      <c r="B90" s="119">
        <v>853</v>
      </c>
      <c r="C90" s="119">
        <v>296</v>
      </c>
      <c r="D90" s="5">
        <f t="shared" si="14"/>
        <v>0</v>
      </c>
      <c r="E90" s="211">
        <v>0</v>
      </c>
      <c r="F90" s="2"/>
    </row>
    <row r="91" spans="1:6" ht="56.25" x14ac:dyDescent="0.25">
      <c r="A91" s="115" t="s">
        <v>35</v>
      </c>
      <c r="B91" s="119" t="s">
        <v>5</v>
      </c>
      <c r="C91" s="119">
        <v>297</v>
      </c>
      <c r="D91" s="5">
        <f>E91+F91</f>
        <v>40500</v>
      </c>
      <c r="E91" s="211">
        <f>E92+E94+E95+E93</f>
        <v>40500</v>
      </c>
      <c r="F91" s="2">
        <f>F92+F94+F95</f>
        <v>0</v>
      </c>
    </row>
    <row r="92" spans="1:6" ht="18.75" x14ac:dyDescent="0.25">
      <c r="A92" s="221" t="s">
        <v>6</v>
      </c>
      <c r="B92" s="119">
        <v>244</v>
      </c>
      <c r="C92" s="119">
        <v>297</v>
      </c>
      <c r="D92" s="5">
        <f t="shared" si="14"/>
        <v>0</v>
      </c>
      <c r="E92" s="211">
        <v>0</v>
      </c>
      <c r="F92" s="2"/>
    </row>
    <row r="93" spans="1:6" ht="18.75" x14ac:dyDescent="0.25">
      <c r="A93" s="221"/>
      <c r="B93" s="217">
        <v>613</v>
      </c>
      <c r="C93" s="217">
        <v>297</v>
      </c>
      <c r="D93" s="5">
        <f t="shared" ref="D93" si="17">E93+F93</f>
        <v>0</v>
      </c>
      <c r="E93" s="211">
        <v>0</v>
      </c>
      <c r="F93" s="2"/>
    </row>
    <row r="94" spans="1:6" ht="18.75" x14ac:dyDescent="0.25">
      <c r="A94" s="221"/>
      <c r="B94" s="192">
        <v>831</v>
      </c>
      <c r="C94" s="192">
        <v>297</v>
      </c>
      <c r="D94" s="5">
        <f t="shared" si="14"/>
        <v>40500</v>
      </c>
      <c r="E94" s="211">
        <f>20500+15000+5000</f>
        <v>40500</v>
      </c>
      <c r="F94" s="2"/>
    </row>
    <row r="95" spans="1:6" ht="18.75" x14ac:dyDescent="0.25">
      <c r="A95" s="221"/>
      <c r="B95" s="119">
        <v>853</v>
      </c>
      <c r="C95" s="119">
        <v>297</v>
      </c>
      <c r="D95" s="5">
        <f t="shared" si="14"/>
        <v>0</v>
      </c>
      <c r="E95" s="211">
        <v>0</v>
      </c>
      <c r="F95" s="2"/>
    </row>
    <row r="96" spans="1:6" ht="56.25" x14ac:dyDescent="0.25">
      <c r="A96" s="115" t="s">
        <v>59</v>
      </c>
      <c r="B96" s="119" t="s">
        <v>5</v>
      </c>
      <c r="C96" s="119">
        <v>300</v>
      </c>
      <c r="D96" s="5">
        <f t="shared" si="14"/>
        <v>2785236.2199999997</v>
      </c>
      <c r="E96" s="211">
        <f>E98+E100+E99</f>
        <v>2785236.2199999997</v>
      </c>
      <c r="F96" s="2">
        <f>F98+F100+F99</f>
        <v>0</v>
      </c>
    </row>
    <row r="97" spans="1:6" ht="18.75" x14ac:dyDescent="0.25">
      <c r="A97" s="115" t="s">
        <v>9</v>
      </c>
      <c r="B97" s="119"/>
      <c r="C97" s="119"/>
      <c r="D97" s="5"/>
      <c r="E97" s="211"/>
      <c r="F97" s="2"/>
    </row>
    <row r="98" spans="1:6" ht="56.25" x14ac:dyDescent="0.25">
      <c r="A98" s="115" t="s">
        <v>36</v>
      </c>
      <c r="B98" s="119">
        <v>244</v>
      </c>
      <c r="C98" s="119">
        <v>310</v>
      </c>
      <c r="D98" s="5">
        <f t="shared" si="14"/>
        <v>2288145.94</v>
      </c>
      <c r="E98" s="211">
        <f>1084965.48+1762.43+193717+4593.33-9612+1231019.7-20500+2200-200000</f>
        <v>2288145.94</v>
      </c>
      <c r="F98" s="2"/>
    </row>
    <row r="99" spans="1:6" ht="75" x14ac:dyDescent="0.25">
      <c r="A99" s="115" t="s">
        <v>68</v>
      </c>
      <c r="B99" s="119">
        <v>244</v>
      </c>
      <c r="C99" s="119">
        <v>320</v>
      </c>
      <c r="D99" s="5">
        <f t="shared" si="14"/>
        <v>0</v>
      </c>
      <c r="E99" s="211">
        <v>0</v>
      </c>
      <c r="F99" s="2"/>
    </row>
    <row r="100" spans="1:6" ht="75" x14ac:dyDescent="0.25">
      <c r="A100" s="115" t="s">
        <v>60</v>
      </c>
      <c r="B100" s="119" t="s">
        <v>5</v>
      </c>
      <c r="C100" s="119">
        <v>340</v>
      </c>
      <c r="D100" s="5">
        <f t="shared" si="14"/>
        <v>497090.28</v>
      </c>
      <c r="E100" s="211">
        <f>E102+E103+E104+E105+E106+E107+E108+E109</f>
        <v>497090.28</v>
      </c>
      <c r="F100" s="2">
        <f>F102+F103+F104+F105+F106+F107+F109</f>
        <v>0</v>
      </c>
    </row>
    <row r="101" spans="1:6" ht="18.75" x14ac:dyDescent="0.25">
      <c r="A101" s="115" t="s">
        <v>6</v>
      </c>
      <c r="B101" s="119"/>
      <c r="C101" s="119"/>
      <c r="D101" s="5"/>
      <c r="E101" s="211"/>
      <c r="F101" s="2"/>
    </row>
    <row r="102" spans="1:6" ht="131.25" x14ac:dyDescent="0.25">
      <c r="A102" s="115" t="s">
        <v>37</v>
      </c>
      <c r="B102" s="119">
        <v>244</v>
      </c>
      <c r="C102" s="119">
        <v>341</v>
      </c>
      <c r="D102" s="5">
        <f t="shared" si="14"/>
        <v>0</v>
      </c>
      <c r="E102" s="211">
        <v>0</v>
      </c>
      <c r="F102" s="2"/>
    </row>
    <row r="103" spans="1:6" ht="56.25" x14ac:dyDescent="0.25">
      <c r="A103" s="115" t="s">
        <v>38</v>
      </c>
      <c r="B103" s="119">
        <v>244</v>
      </c>
      <c r="C103" s="119">
        <v>342</v>
      </c>
      <c r="D103" s="5">
        <f t="shared" si="14"/>
        <v>0</v>
      </c>
      <c r="E103" s="211">
        <v>0</v>
      </c>
      <c r="F103" s="2"/>
    </row>
    <row r="104" spans="1:6" ht="75" x14ac:dyDescent="0.25">
      <c r="A104" s="115" t="s">
        <v>39</v>
      </c>
      <c r="B104" s="119">
        <v>244</v>
      </c>
      <c r="C104" s="119">
        <v>343</v>
      </c>
      <c r="D104" s="5">
        <f t="shared" si="14"/>
        <v>0</v>
      </c>
      <c r="E104" s="211">
        <v>0</v>
      </c>
      <c r="F104" s="2"/>
    </row>
    <row r="105" spans="1:6" ht="75" x14ac:dyDescent="0.25">
      <c r="A105" s="115" t="s">
        <v>40</v>
      </c>
      <c r="B105" s="119">
        <v>244</v>
      </c>
      <c r="C105" s="119">
        <v>344</v>
      </c>
      <c r="D105" s="5">
        <f t="shared" si="14"/>
        <v>0</v>
      </c>
      <c r="E105" s="211">
        <v>0</v>
      </c>
      <c r="F105" s="2"/>
    </row>
    <row r="106" spans="1:6" ht="56.25" x14ac:dyDescent="0.25">
      <c r="A106" s="115" t="s">
        <v>41</v>
      </c>
      <c r="B106" s="119">
        <v>244</v>
      </c>
      <c r="C106" s="119">
        <v>345</v>
      </c>
      <c r="D106" s="5">
        <f t="shared" si="14"/>
        <v>0</v>
      </c>
      <c r="E106" s="211">
        <v>0</v>
      </c>
      <c r="F106" s="2"/>
    </row>
    <row r="107" spans="1:6" ht="75" x14ac:dyDescent="0.25">
      <c r="A107" s="115" t="s">
        <v>42</v>
      </c>
      <c r="B107" s="119">
        <v>244</v>
      </c>
      <c r="C107" s="119">
        <v>346</v>
      </c>
      <c r="D107" s="5">
        <f>E107+F107</f>
        <v>487478.28</v>
      </c>
      <c r="E107" s="211">
        <f>128107.53+217200+142170.75</f>
        <v>487478.28</v>
      </c>
      <c r="F107" s="2"/>
    </row>
    <row r="108" spans="1:6" ht="112.5" x14ac:dyDescent="0.25">
      <c r="A108" s="170" t="s">
        <v>346</v>
      </c>
      <c r="B108" s="171">
        <v>244</v>
      </c>
      <c r="C108" s="171">
        <v>347</v>
      </c>
      <c r="D108" s="5">
        <f>E108+F108</f>
        <v>0</v>
      </c>
      <c r="E108" s="211">
        <v>0</v>
      </c>
      <c r="F108" s="2"/>
    </row>
    <row r="109" spans="1:6" ht="112.5" x14ac:dyDescent="0.25">
      <c r="A109" s="115" t="s">
        <v>43</v>
      </c>
      <c r="B109" s="119">
        <v>244</v>
      </c>
      <c r="C109" s="119">
        <v>349</v>
      </c>
      <c r="D109" s="5">
        <f t="shared" si="14"/>
        <v>9612</v>
      </c>
      <c r="E109" s="211">
        <f>9612</f>
        <v>9612</v>
      </c>
      <c r="F109" s="2"/>
    </row>
    <row r="110" spans="1:6" ht="78" customHeight="1" x14ac:dyDescent="0.25">
      <c r="A110" s="115" t="s">
        <v>67</v>
      </c>
      <c r="B110" s="119" t="s">
        <v>5</v>
      </c>
      <c r="C110" s="119" t="s">
        <v>5</v>
      </c>
      <c r="D110" s="5">
        <f t="shared" si="14"/>
        <v>0</v>
      </c>
      <c r="E110" s="211">
        <f t="shared" ref="E110:F110" si="18">E112+E113+E114</f>
        <v>0</v>
      </c>
      <c r="F110" s="2">
        <f t="shared" si="18"/>
        <v>0</v>
      </c>
    </row>
    <row r="111" spans="1:6" ht="78" customHeight="1" x14ac:dyDescent="0.25">
      <c r="A111" s="115" t="s">
        <v>6</v>
      </c>
      <c r="B111" s="119"/>
      <c r="C111" s="119"/>
      <c r="D111" s="5"/>
      <c r="E111" s="211"/>
      <c r="F111" s="2"/>
    </row>
    <row r="112" spans="1:6" ht="78" customHeight="1" x14ac:dyDescent="0.25">
      <c r="A112" s="115" t="s">
        <v>194</v>
      </c>
      <c r="B112" s="119">
        <v>180</v>
      </c>
      <c r="C112" s="119" t="s">
        <v>5</v>
      </c>
      <c r="D112" s="5">
        <f t="shared" si="14"/>
        <v>0</v>
      </c>
      <c r="E112" s="211">
        <v>0</v>
      </c>
      <c r="F112" s="2"/>
    </row>
    <row r="113" spans="1:10" ht="78" customHeight="1" x14ac:dyDescent="0.25">
      <c r="A113" s="115" t="s">
        <v>195</v>
      </c>
      <c r="B113" s="119">
        <v>180</v>
      </c>
      <c r="C113" s="119" t="s">
        <v>5</v>
      </c>
      <c r="D113" s="5">
        <f t="shared" si="14"/>
        <v>0</v>
      </c>
      <c r="E113" s="211">
        <v>0</v>
      </c>
      <c r="F113" s="2"/>
    </row>
    <row r="114" spans="1:10" ht="78" customHeight="1" thickBot="1" x14ac:dyDescent="0.3">
      <c r="A114" s="32" t="s">
        <v>196</v>
      </c>
      <c r="B114" s="33">
        <v>180</v>
      </c>
      <c r="C114" s="33" t="s">
        <v>5</v>
      </c>
      <c r="D114" s="34">
        <f t="shared" si="14"/>
        <v>0</v>
      </c>
      <c r="E114" s="212">
        <v>0</v>
      </c>
      <c r="F114" s="35"/>
    </row>
    <row r="115" spans="1:10" ht="18.75" x14ac:dyDescent="0.25">
      <c r="A115" s="15"/>
      <c r="B115" s="19"/>
      <c r="C115" s="19"/>
      <c r="D115" s="36"/>
      <c r="E115" s="36"/>
      <c r="F115" s="36"/>
    </row>
    <row r="116" spans="1:10" x14ac:dyDescent="0.25">
      <c r="A116" s="11"/>
    </row>
    <row r="117" spans="1:10" ht="37.5" x14ac:dyDescent="0.3">
      <c r="A117" s="29" t="s">
        <v>52</v>
      </c>
      <c r="B117" s="224"/>
      <c r="C117" s="224"/>
      <c r="D117" s="10"/>
      <c r="E117" s="224" t="s">
        <v>499</v>
      </c>
      <c r="F117" s="224"/>
    </row>
    <row r="118" spans="1:10" ht="18.75" x14ac:dyDescent="0.3">
      <c r="A118" s="29"/>
      <c r="B118" s="223" t="s">
        <v>53</v>
      </c>
      <c r="C118" s="223"/>
      <c r="D118" s="10"/>
      <c r="E118" s="223" t="s">
        <v>54</v>
      </c>
      <c r="F118" s="223"/>
    </row>
    <row r="119" spans="1:10" ht="18.75" x14ac:dyDescent="0.3">
      <c r="A119" s="29"/>
      <c r="B119" s="10"/>
      <c r="C119" s="10"/>
      <c r="D119" s="10"/>
      <c r="E119" s="10"/>
      <c r="F119" s="10"/>
    </row>
    <row r="120" spans="1:10" ht="37.5" x14ac:dyDescent="0.3">
      <c r="A120" s="29" t="s">
        <v>55</v>
      </c>
      <c r="B120" s="224"/>
      <c r="C120" s="224"/>
      <c r="D120" s="10"/>
      <c r="E120" s="224" t="s">
        <v>500</v>
      </c>
      <c r="F120" s="224"/>
    </row>
    <row r="121" spans="1:10" ht="18.75" x14ac:dyDescent="0.3">
      <c r="A121" s="29"/>
      <c r="B121" s="223" t="s">
        <v>53</v>
      </c>
      <c r="C121" s="223"/>
      <c r="D121" s="10"/>
      <c r="E121" s="223" t="s">
        <v>54</v>
      </c>
      <c r="F121" s="223"/>
    </row>
    <row r="122" spans="1:10" ht="18.75" x14ac:dyDescent="0.3">
      <c r="A122" s="29"/>
      <c r="B122" s="116"/>
      <c r="C122" s="116"/>
      <c r="D122" s="10"/>
      <c r="E122" s="116"/>
      <c r="F122" s="116"/>
    </row>
    <row r="123" spans="1:10" ht="18.75" x14ac:dyDescent="0.3">
      <c r="A123" s="29" t="s">
        <v>56</v>
      </c>
      <c r="B123" s="224"/>
      <c r="C123" s="224"/>
      <c r="D123" s="10"/>
      <c r="E123" s="224" t="s">
        <v>500</v>
      </c>
      <c r="F123" s="224"/>
    </row>
    <row r="124" spans="1:10" ht="18.75" x14ac:dyDescent="0.3">
      <c r="A124" s="29"/>
      <c r="B124" s="223" t="s">
        <v>53</v>
      </c>
      <c r="C124" s="223"/>
      <c r="D124" s="10"/>
      <c r="E124" s="223" t="s">
        <v>54</v>
      </c>
      <c r="F124" s="223"/>
    </row>
    <row r="125" spans="1:10" ht="18.75" x14ac:dyDescent="0.3">
      <c r="A125" s="29" t="s">
        <v>57</v>
      </c>
      <c r="B125" s="10"/>
      <c r="C125" s="10"/>
      <c r="D125" s="10"/>
      <c r="E125" s="10"/>
      <c r="F125" s="10"/>
    </row>
    <row r="126" spans="1:10" ht="18.75" x14ac:dyDescent="0.3">
      <c r="A126" s="222" t="s">
        <v>44</v>
      </c>
      <c r="B126" s="222"/>
      <c r="C126" s="10"/>
      <c r="D126" s="10"/>
      <c r="E126" s="10"/>
      <c r="F126" s="10"/>
    </row>
    <row r="127" spans="1:10" ht="18.75" x14ac:dyDescent="0.25">
      <c r="A127" s="225" t="s">
        <v>192</v>
      </c>
      <c r="B127" s="225"/>
      <c r="C127" s="225"/>
      <c r="D127" s="225"/>
      <c r="E127" s="225"/>
      <c r="F127" s="225"/>
    </row>
    <row r="128" spans="1:10" ht="45" x14ac:dyDescent="0.25">
      <c r="A128" s="54" t="s">
        <v>235</v>
      </c>
      <c r="B128" s="58" t="s">
        <v>5</v>
      </c>
      <c r="C128" s="58" t="s">
        <v>5</v>
      </c>
      <c r="D128" s="5">
        <f t="shared" ref="D128:D129" si="19">E128+F128</f>
        <v>0</v>
      </c>
      <c r="E128" s="2"/>
      <c r="F128" s="4"/>
      <c r="H128" s="71" t="s">
        <v>230</v>
      </c>
      <c r="I128" s="71" t="s">
        <v>231</v>
      </c>
      <c r="J128" s="71" t="s">
        <v>232</v>
      </c>
    </row>
    <row r="129" spans="1:10" ht="18.75" x14ac:dyDescent="0.25">
      <c r="A129" s="54" t="s">
        <v>7</v>
      </c>
      <c r="B129" s="58" t="s">
        <v>5</v>
      </c>
      <c r="C129" s="58">
        <v>900</v>
      </c>
      <c r="D129" s="5">
        <f t="shared" si="19"/>
        <v>2811986.2199999997</v>
      </c>
      <c r="E129" s="2">
        <f>E132+E162+E177+E207</f>
        <v>2811986.2199999997</v>
      </c>
      <c r="F129" s="2">
        <f>F132+F162</f>
        <v>0</v>
      </c>
      <c r="H129" s="72">
        <f>E31+E32+E33+E35+E41+E59+E60+E61+E68+E71+E72+E74+E78+E79+E80+E81+E82+E83+E86+E87+E88+E90+E95</f>
        <v>1166433.6299999999</v>
      </c>
      <c r="I129" s="72">
        <f>H129+D129</f>
        <v>3978419.8499999996</v>
      </c>
      <c r="J129" s="72">
        <f>I129-E25</f>
        <v>-40500</v>
      </c>
    </row>
    <row r="130" spans="1:10" ht="18.75" x14ac:dyDescent="0.25">
      <c r="A130" s="54" t="s">
        <v>6</v>
      </c>
      <c r="B130" s="58"/>
      <c r="C130" s="58"/>
      <c r="D130" s="5"/>
      <c r="E130" s="2"/>
      <c r="F130" s="4"/>
    </row>
    <row r="131" spans="1:10" ht="18.75" x14ac:dyDescent="0.25">
      <c r="A131" s="226" t="s">
        <v>200</v>
      </c>
      <c r="B131" s="227"/>
      <c r="C131" s="227"/>
      <c r="D131" s="227"/>
      <c r="E131" s="227"/>
      <c r="F131" s="228"/>
    </row>
    <row r="132" spans="1:10" ht="18.75" x14ac:dyDescent="0.25">
      <c r="A132" s="54" t="s">
        <v>8</v>
      </c>
      <c r="B132" s="58" t="s">
        <v>5</v>
      </c>
      <c r="C132" s="58">
        <v>200</v>
      </c>
      <c r="D132" s="5">
        <f t="shared" ref="D132:D165" si="20">E132+F132</f>
        <v>0</v>
      </c>
      <c r="E132" s="2">
        <f>E134+E137+E158</f>
        <v>0</v>
      </c>
      <c r="F132" s="2">
        <f>F134+F137+F158</f>
        <v>0</v>
      </c>
    </row>
    <row r="133" spans="1:10" ht="18.75" x14ac:dyDescent="0.25">
      <c r="A133" s="54" t="s">
        <v>9</v>
      </c>
      <c r="B133" s="58"/>
      <c r="C133" s="58"/>
      <c r="D133" s="5"/>
      <c r="E133" s="2"/>
      <c r="F133" s="2"/>
    </row>
    <row r="134" spans="1:10" ht="75" x14ac:dyDescent="0.25">
      <c r="A134" s="54" t="s">
        <v>10</v>
      </c>
      <c r="B134" s="58" t="s">
        <v>5</v>
      </c>
      <c r="C134" s="58">
        <v>210</v>
      </c>
      <c r="D134" s="5">
        <f t="shared" si="20"/>
        <v>0</v>
      </c>
      <c r="E134" s="2">
        <f>E136</f>
        <v>0</v>
      </c>
      <c r="F134" s="2">
        <f>F136</f>
        <v>0</v>
      </c>
    </row>
    <row r="135" spans="1:10" ht="18.75" x14ac:dyDescent="0.25">
      <c r="A135" s="54" t="s">
        <v>9</v>
      </c>
      <c r="B135" s="58"/>
      <c r="C135" s="58"/>
      <c r="D135" s="5"/>
      <c r="E135" s="2"/>
      <c r="F135" s="2"/>
    </row>
    <row r="136" spans="1:10" ht="93.75" x14ac:dyDescent="0.25">
      <c r="A136" s="54" t="s">
        <v>201</v>
      </c>
      <c r="B136" s="58">
        <v>244</v>
      </c>
      <c r="C136" s="58">
        <v>214</v>
      </c>
      <c r="D136" s="5">
        <f>E136+F136</f>
        <v>0</v>
      </c>
      <c r="E136" s="2"/>
      <c r="F136" s="2"/>
    </row>
    <row r="137" spans="1:10" ht="37.5" x14ac:dyDescent="0.25">
      <c r="A137" s="54" t="s">
        <v>14</v>
      </c>
      <c r="B137" s="58" t="s">
        <v>5</v>
      </c>
      <c r="C137" s="58">
        <v>220</v>
      </c>
      <c r="D137" s="5">
        <f t="shared" si="20"/>
        <v>0</v>
      </c>
      <c r="E137" s="2">
        <f>E139+E140+E141+E149+E150+E153+E156+E157</f>
        <v>0</v>
      </c>
      <c r="F137" s="2">
        <f>F139+F140+F141+F149+F150+F153+F156</f>
        <v>0</v>
      </c>
    </row>
    <row r="138" spans="1:10" ht="18.75" x14ac:dyDescent="0.25">
      <c r="A138" s="54" t="s">
        <v>9</v>
      </c>
      <c r="B138" s="58"/>
      <c r="C138" s="58"/>
      <c r="D138" s="5"/>
      <c r="E138" s="2"/>
      <c r="F138" s="2"/>
    </row>
    <row r="139" spans="1:10" ht="18.75" x14ac:dyDescent="0.25">
      <c r="A139" s="54" t="s">
        <v>15</v>
      </c>
      <c r="B139" s="58">
        <v>244</v>
      </c>
      <c r="C139" s="58">
        <v>221</v>
      </c>
      <c r="D139" s="5">
        <f t="shared" si="20"/>
        <v>0</v>
      </c>
      <c r="E139" s="2"/>
      <c r="F139" s="2"/>
    </row>
    <row r="140" spans="1:10" ht="37.5" x14ac:dyDescent="0.25">
      <c r="A140" s="54" t="s">
        <v>16</v>
      </c>
      <c r="B140" s="58">
        <v>244</v>
      </c>
      <c r="C140" s="58">
        <v>222</v>
      </c>
      <c r="D140" s="5">
        <f t="shared" si="20"/>
        <v>0</v>
      </c>
      <c r="E140" s="2"/>
      <c r="F140" s="2"/>
    </row>
    <row r="141" spans="1:10" ht="37.5" x14ac:dyDescent="0.25">
      <c r="A141" s="54" t="s">
        <v>17</v>
      </c>
      <c r="B141" s="58" t="s">
        <v>5</v>
      </c>
      <c r="C141" s="58">
        <v>223</v>
      </c>
      <c r="D141" s="5">
        <f t="shared" si="20"/>
        <v>0</v>
      </c>
      <c r="E141" s="2">
        <f t="shared" ref="E141:F141" si="21">E143+E144+E145+E146+E147</f>
        <v>0</v>
      </c>
      <c r="F141" s="2">
        <f t="shared" si="21"/>
        <v>0</v>
      </c>
    </row>
    <row r="142" spans="1:10" ht="18.75" x14ac:dyDescent="0.25">
      <c r="A142" s="54" t="s">
        <v>6</v>
      </c>
      <c r="B142" s="58"/>
      <c r="C142" s="58"/>
      <c r="D142" s="5"/>
      <c r="E142" s="2"/>
      <c r="F142" s="2"/>
    </row>
    <row r="143" spans="1:10" ht="56.25" x14ac:dyDescent="0.25">
      <c r="A143" s="54" t="s">
        <v>18</v>
      </c>
      <c r="B143" s="58">
        <v>244</v>
      </c>
      <c r="C143" s="58">
        <v>223</v>
      </c>
      <c r="D143" s="5">
        <f t="shared" si="20"/>
        <v>0</v>
      </c>
      <c r="E143" s="2"/>
      <c r="F143" s="2"/>
    </row>
    <row r="144" spans="1:10" ht="37.5" x14ac:dyDescent="0.25">
      <c r="A144" s="54" t="s">
        <v>19</v>
      </c>
      <c r="B144" s="58">
        <v>244</v>
      </c>
      <c r="C144" s="58">
        <v>223</v>
      </c>
      <c r="D144" s="5">
        <f t="shared" si="20"/>
        <v>0</v>
      </c>
      <c r="E144" s="2"/>
      <c r="F144" s="2"/>
    </row>
    <row r="145" spans="1:6" ht="75" x14ac:dyDescent="0.25">
      <c r="A145" s="54" t="s">
        <v>20</v>
      </c>
      <c r="B145" s="58">
        <v>244</v>
      </c>
      <c r="C145" s="58">
        <v>223</v>
      </c>
      <c r="D145" s="5">
        <f t="shared" si="20"/>
        <v>0</v>
      </c>
      <c r="E145" s="2"/>
      <c r="F145" s="2"/>
    </row>
    <row r="146" spans="1:6" ht="75" x14ac:dyDescent="0.25">
      <c r="A146" s="54" t="s">
        <v>21</v>
      </c>
      <c r="B146" s="58">
        <v>244</v>
      </c>
      <c r="C146" s="58">
        <v>223</v>
      </c>
      <c r="D146" s="5">
        <f t="shared" si="20"/>
        <v>0</v>
      </c>
      <c r="E146" s="2"/>
      <c r="F146" s="2"/>
    </row>
    <row r="147" spans="1:6" ht="56.25" x14ac:dyDescent="0.25">
      <c r="A147" s="54" t="s">
        <v>22</v>
      </c>
      <c r="B147" s="58">
        <v>244</v>
      </c>
      <c r="C147" s="58">
        <v>223</v>
      </c>
      <c r="D147" s="5">
        <f t="shared" si="20"/>
        <v>0</v>
      </c>
      <c r="E147" s="2"/>
      <c r="F147" s="2"/>
    </row>
    <row r="148" spans="1:6" ht="56.25" x14ac:dyDescent="0.25">
      <c r="A148" s="195" t="s">
        <v>442</v>
      </c>
      <c r="B148" s="196">
        <v>244</v>
      </c>
      <c r="C148" s="196">
        <v>223</v>
      </c>
      <c r="D148" s="5">
        <f t="shared" ref="D148" si="22">E148+F148</f>
        <v>0</v>
      </c>
      <c r="E148" s="2"/>
      <c r="F148" s="2"/>
    </row>
    <row r="149" spans="1:6" ht="168.75" x14ac:dyDescent="0.25">
      <c r="A149" s="54" t="s">
        <v>23</v>
      </c>
      <c r="B149" s="58">
        <v>244</v>
      </c>
      <c r="C149" s="58">
        <v>224</v>
      </c>
      <c r="D149" s="5">
        <f t="shared" si="20"/>
        <v>0</v>
      </c>
      <c r="E149" s="2"/>
      <c r="F149" s="2"/>
    </row>
    <row r="150" spans="1:6" ht="56.25" x14ac:dyDescent="0.25">
      <c r="A150" s="54" t="s">
        <v>24</v>
      </c>
      <c r="B150" s="58" t="s">
        <v>5</v>
      </c>
      <c r="C150" s="58">
        <v>225</v>
      </c>
      <c r="D150" s="2">
        <f t="shared" ref="D150:F150" si="23">D151+D152</f>
        <v>0</v>
      </c>
      <c r="E150" s="2">
        <f>E151+E152</f>
        <v>0</v>
      </c>
      <c r="F150" s="2">
        <f t="shared" si="23"/>
        <v>0</v>
      </c>
    </row>
    <row r="151" spans="1:6" ht="18.75" x14ac:dyDescent="0.25">
      <c r="A151" s="221" t="s">
        <v>6</v>
      </c>
      <c r="B151" s="58">
        <v>243</v>
      </c>
      <c r="C151" s="58">
        <v>225</v>
      </c>
      <c r="D151" s="5">
        <f t="shared" si="20"/>
        <v>0</v>
      </c>
      <c r="E151" s="2"/>
      <c r="F151" s="2"/>
    </row>
    <row r="152" spans="1:6" ht="18.75" x14ac:dyDescent="0.25">
      <c r="A152" s="221"/>
      <c r="B152" s="58">
        <v>244</v>
      </c>
      <c r="C152" s="58">
        <v>225</v>
      </c>
      <c r="D152" s="5">
        <f t="shared" si="20"/>
        <v>0</v>
      </c>
      <c r="E152" s="2"/>
      <c r="F152" s="2"/>
    </row>
    <row r="153" spans="1:6" ht="37.5" x14ac:dyDescent="0.25">
      <c r="A153" s="54" t="s">
        <v>58</v>
      </c>
      <c r="B153" s="58" t="s">
        <v>5</v>
      </c>
      <c r="C153" s="58">
        <v>226</v>
      </c>
      <c r="D153" s="5">
        <f t="shared" si="20"/>
        <v>0</v>
      </c>
      <c r="E153" s="2">
        <f>E154+E155</f>
        <v>0</v>
      </c>
      <c r="F153" s="2">
        <f>F154+F155</f>
        <v>0</v>
      </c>
    </row>
    <row r="154" spans="1:6" ht="18.75" x14ac:dyDescent="0.25">
      <c r="A154" s="221" t="s">
        <v>6</v>
      </c>
      <c r="B154" s="58">
        <v>243</v>
      </c>
      <c r="C154" s="58">
        <v>226</v>
      </c>
      <c r="D154" s="5">
        <f t="shared" si="20"/>
        <v>0</v>
      </c>
      <c r="E154" s="2"/>
      <c r="F154" s="2"/>
    </row>
    <row r="155" spans="1:6" ht="18.75" x14ac:dyDescent="0.25">
      <c r="A155" s="221"/>
      <c r="B155" s="58">
        <v>244</v>
      </c>
      <c r="C155" s="58">
        <v>226</v>
      </c>
      <c r="D155" s="5">
        <f t="shared" si="20"/>
        <v>0</v>
      </c>
      <c r="E155" s="2"/>
      <c r="F155" s="2"/>
    </row>
    <row r="156" spans="1:6" ht="18.75" x14ac:dyDescent="0.25">
      <c r="A156" s="54" t="s">
        <v>25</v>
      </c>
      <c r="B156" s="58">
        <v>244</v>
      </c>
      <c r="C156" s="58">
        <v>227</v>
      </c>
      <c r="D156" s="5">
        <f>E156+F156</f>
        <v>0</v>
      </c>
      <c r="E156" s="2"/>
      <c r="F156" s="2"/>
    </row>
    <row r="157" spans="1:6" ht="56.25" x14ac:dyDescent="0.25">
      <c r="A157" s="170" t="s">
        <v>345</v>
      </c>
      <c r="B157" s="171">
        <v>244</v>
      </c>
      <c r="C157" s="171">
        <v>228</v>
      </c>
      <c r="D157" s="5">
        <f>E157+F157</f>
        <v>0</v>
      </c>
      <c r="E157" s="2"/>
      <c r="F157" s="2"/>
    </row>
    <row r="158" spans="1:6" ht="18.75" x14ac:dyDescent="0.25">
      <c r="A158" s="54" t="s">
        <v>30</v>
      </c>
      <c r="B158" s="58" t="s">
        <v>5</v>
      </c>
      <c r="C158" s="58">
        <v>290</v>
      </c>
      <c r="D158" s="5">
        <f t="shared" si="20"/>
        <v>0</v>
      </c>
      <c r="E158" s="2">
        <f>E160+E161</f>
        <v>0</v>
      </c>
      <c r="F158" s="2">
        <f>F160+F161</f>
        <v>0</v>
      </c>
    </row>
    <row r="159" spans="1:6" ht="18.75" x14ac:dyDescent="0.25">
      <c r="A159" s="54" t="s">
        <v>9</v>
      </c>
      <c r="B159" s="58"/>
      <c r="C159" s="58"/>
      <c r="D159" s="5">
        <f t="shared" si="20"/>
        <v>0</v>
      </c>
      <c r="E159" s="2"/>
      <c r="F159" s="2"/>
    </row>
    <row r="160" spans="1:6" ht="56.25" x14ac:dyDescent="0.25">
      <c r="A160" s="54" t="s">
        <v>34</v>
      </c>
      <c r="B160" s="58">
        <v>244</v>
      </c>
      <c r="C160" s="58">
        <v>296</v>
      </c>
      <c r="D160" s="5">
        <f t="shared" si="20"/>
        <v>0</v>
      </c>
      <c r="E160" s="2"/>
      <c r="F160" s="2"/>
    </row>
    <row r="161" spans="1:6" ht="56.25" x14ac:dyDescent="0.25">
      <c r="A161" s="54" t="s">
        <v>35</v>
      </c>
      <c r="B161" s="58">
        <v>244</v>
      </c>
      <c r="C161" s="58">
        <v>297</v>
      </c>
      <c r="D161" s="5">
        <f t="shared" si="20"/>
        <v>0</v>
      </c>
      <c r="E161" s="2"/>
      <c r="F161" s="2"/>
    </row>
    <row r="162" spans="1:6" ht="56.25" x14ac:dyDescent="0.25">
      <c r="A162" s="54" t="s">
        <v>59</v>
      </c>
      <c r="B162" s="58" t="s">
        <v>5</v>
      </c>
      <c r="C162" s="58">
        <v>300</v>
      </c>
      <c r="D162" s="5">
        <f t="shared" si="20"/>
        <v>0</v>
      </c>
      <c r="E162" s="2">
        <f>E164+E166+E165</f>
        <v>0</v>
      </c>
      <c r="F162" s="2">
        <f>F164+F166+F165</f>
        <v>0</v>
      </c>
    </row>
    <row r="163" spans="1:6" ht="18.75" x14ac:dyDescent="0.25">
      <c r="A163" s="54" t="s">
        <v>9</v>
      </c>
      <c r="B163" s="58"/>
      <c r="C163" s="58"/>
      <c r="D163" s="5"/>
      <c r="E163" s="2"/>
      <c r="F163" s="2"/>
    </row>
    <row r="164" spans="1:6" ht="56.25" x14ac:dyDescent="0.25">
      <c r="A164" s="54" t="s">
        <v>36</v>
      </c>
      <c r="B164" s="58">
        <v>244</v>
      </c>
      <c r="C164" s="58">
        <v>310</v>
      </c>
      <c r="D164" s="5">
        <f t="shared" si="20"/>
        <v>0</v>
      </c>
      <c r="E164" s="2"/>
      <c r="F164" s="2"/>
    </row>
    <row r="165" spans="1:6" ht="75" x14ac:dyDescent="0.25">
      <c r="A165" s="54" t="s">
        <v>68</v>
      </c>
      <c r="B165" s="58">
        <v>244</v>
      </c>
      <c r="C165" s="58">
        <v>320</v>
      </c>
      <c r="D165" s="5">
        <f t="shared" si="20"/>
        <v>0</v>
      </c>
      <c r="E165" s="2"/>
      <c r="F165" s="2"/>
    </row>
    <row r="166" spans="1:6" ht="75" x14ac:dyDescent="0.25">
      <c r="A166" s="54" t="s">
        <v>60</v>
      </c>
      <c r="B166" s="58" t="s">
        <v>5</v>
      </c>
      <c r="C166" s="58">
        <v>340</v>
      </c>
      <c r="D166" s="5">
        <f>E166+F166</f>
        <v>0</v>
      </c>
      <c r="E166" s="2">
        <f>E168+E169+E170+E171+E172+E173+E174+E175</f>
        <v>0</v>
      </c>
      <c r="F166" s="2">
        <f>F168+F169+F170+F171+F172+F173+F175</f>
        <v>0</v>
      </c>
    </row>
    <row r="167" spans="1:6" ht="18.75" x14ac:dyDescent="0.25">
      <c r="A167" s="54" t="s">
        <v>6</v>
      </c>
      <c r="B167" s="58"/>
      <c r="C167" s="58"/>
      <c r="D167" s="5"/>
      <c r="E167" s="2"/>
      <c r="F167" s="2"/>
    </row>
    <row r="168" spans="1:6" ht="131.25" x14ac:dyDescent="0.25">
      <c r="A168" s="54" t="s">
        <v>37</v>
      </c>
      <c r="B168" s="58">
        <v>244</v>
      </c>
      <c r="C168" s="58">
        <v>341</v>
      </c>
      <c r="D168" s="5">
        <f t="shared" ref="D168:D175" si="24">E168+F168</f>
        <v>0</v>
      </c>
      <c r="E168" s="2"/>
      <c r="F168" s="2"/>
    </row>
    <row r="169" spans="1:6" ht="56.25" x14ac:dyDescent="0.25">
      <c r="A169" s="54" t="s">
        <v>38</v>
      </c>
      <c r="B169" s="58">
        <v>244</v>
      </c>
      <c r="C169" s="58">
        <v>342</v>
      </c>
      <c r="D169" s="5">
        <f t="shared" si="24"/>
        <v>0</v>
      </c>
      <c r="E169" s="2"/>
      <c r="F169" s="2"/>
    </row>
    <row r="170" spans="1:6" ht="75" x14ac:dyDescent="0.25">
      <c r="A170" s="54" t="s">
        <v>39</v>
      </c>
      <c r="B170" s="58">
        <v>244</v>
      </c>
      <c r="C170" s="58">
        <v>343</v>
      </c>
      <c r="D170" s="5">
        <f t="shared" si="24"/>
        <v>0</v>
      </c>
      <c r="E170" s="2"/>
      <c r="F170" s="2"/>
    </row>
    <row r="171" spans="1:6" ht="75" x14ac:dyDescent="0.25">
      <c r="A171" s="54" t="s">
        <v>40</v>
      </c>
      <c r="B171" s="58">
        <v>244</v>
      </c>
      <c r="C171" s="58">
        <v>344</v>
      </c>
      <c r="D171" s="5">
        <f t="shared" si="24"/>
        <v>0</v>
      </c>
      <c r="E171" s="2"/>
      <c r="F171" s="2"/>
    </row>
    <row r="172" spans="1:6" ht="56.25" x14ac:dyDescent="0.25">
      <c r="A172" s="54" t="s">
        <v>41</v>
      </c>
      <c r="B172" s="58">
        <v>244</v>
      </c>
      <c r="C172" s="58">
        <v>345</v>
      </c>
      <c r="D172" s="5">
        <f t="shared" si="24"/>
        <v>0</v>
      </c>
      <c r="E172" s="2"/>
      <c r="F172" s="2"/>
    </row>
    <row r="173" spans="1:6" ht="75" x14ac:dyDescent="0.25">
      <c r="A173" s="54" t="s">
        <v>42</v>
      </c>
      <c r="B173" s="58">
        <v>244</v>
      </c>
      <c r="C173" s="58">
        <v>346</v>
      </c>
      <c r="D173" s="5">
        <f t="shared" si="24"/>
        <v>0</v>
      </c>
      <c r="E173" s="2"/>
      <c r="F173" s="2"/>
    </row>
    <row r="174" spans="1:6" ht="112.5" x14ac:dyDescent="0.25">
      <c r="A174" s="170" t="s">
        <v>346</v>
      </c>
      <c r="B174" s="171">
        <v>244</v>
      </c>
      <c r="C174" s="171">
        <v>347</v>
      </c>
      <c r="D174" s="5">
        <f t="shared" si="24"/>
        <v>0</v>
      </c>
      <c r="E174" s="2"/>
      <c r="F174" s="2"/>
    </row>
    <row r="175" spans="1:6" ht="112.5" x14ac:dyDescent="0.25">
      <c r="A175" s="54" t="s">
        <v>43</v>
      </c>
      <c r="B175" s="58">
        <v>244</v>
      </c>
      <c r="C175" s="58">
        <v>349</v>
      </c>
      <c r="D175" s="5">
        <f t="shared" si="24"/>
        <v>0</v>
      </c>
      <c r="E175" s="2"/>
      <c r="F175" s="2"/>
    </row>
    <row r="176" spans="1:6" ht="18.75" x14ac:dyDescent="0.25">
      <c r="A176" s="226" t="s">
        <v>202</v>
      </c>
      <c r="B176" s="227"/>
      <c r="C176" s="227"/>
      <c r="D176" s="227"/>
      <c r="E176" s="227"/>
      <c r="F176" s="228"/>
    </row>
    <row r="177" spans="1:6" ht="18.75" x14ac:dyDescent="0.25">
      <c r="A177" s="54" t="s">
        <v>8</v>
      </c>
      <c r="B177" s="58" t="s">
        <v>5</v>
      </c>
      <c r="C177" s="58">
        <v>200</v>
      </c>
      <c r="D177" s="5">
        <f t="shared" ref="D177" si="25">E177+F177</f>
        <v>26750</v>
      </c>
      <c r="E177" s="2">
        <f>E179+E182+E203</f>
        <v>26750</v>
      </c>
      <c r="F177" s="2">
        <f>F179+F182+F203</f>
        <v>0</v>
      </c>
    </row>
    <row r="178" spans="1:6" ht="18.75" x14ac:dyDescent="0.25">
      <c r="A178" s="54" t="s">
        <v>9</v>
      </c>
      <c r="B178" s="58"/>
      <c r="C178" s="58"/>
      <c r="D178" s="5"/>
      <c r="E178" s="2"/>
      <c r="F178" s="2"/>
    </row>
    <row r="179" spans="1:6" ht="75" x14ac:dyDescent="0.25">
      <c r="A179" s="54" t="s">
        <v>10</v>
      </c>
      <c r="B179" s="58" t="s">
        <v>5</v>
      </c>
      <c r="C179" s="58">
        <v>210</v>
      </c>
      <c r="D179" s="5">
        <f t="shared" ref="D179" si="26">E179+F179</f>
        <v>0</v>
      </c>
      <c r="E179" s="2">
        <f>E181</f>
        <v>0</v>
      </c>
      <c r="F179" s="2">
        <f>F181</f>
        <v>0</v>
      </c>
    </row>
    <row r="180" spans="1:6" ht="18.75" x14ac:dyDescent="0.25">
      <c r="A180" s="54" t="s">
        <v>9</v>
      </c>
      <c r="B180" s="58"/>
      <c r="C180" s="58"/>
      <c r="D180" s="5"/>
      <c r="E180" s="2"/>
      <c r="F180" s="2"/>
    </row>
    <row r="181" spans="1:6" ht="93.75" x14ac:dyDescent="0.25">
      <c r="A181" s="54" t="s">
        <v>201</v>
      </c>
      <c r="B181" s="58">
        <v>244</v>
      </c>
      <c r="C181" s="58">
        <v>214</v>
      </c>
      <c r="D181" s="5">
        <f>E181+F181</f>
        <v>0</v>
      </c>
      <c r="E181" s="70">
        <f>E36-E136</f>
        <v>0</v>
      </c>
      <c r="F181" s="2"/>
    </row>
    <row r="182" spans="1:6" ht="37.5" x14ac:dyDescent="0.25">
      <c r="A182" s="54" t="s">
        <v>14</v>
      </c>
      <c r="B182" s="58" t="s">
        <v>5</v>
      </c>
      <c r="C182" s="58">
        <v>220</v>
      </c>
      <c r="D182" s="5">
        <f t="shared" ref="D182" si="27">E182+F182</f>
        <v>26750</v>
      </c>
      <c r="E182" s="2">
        <f>E184+E185+E186+E194+E195+E198+E201</f>
        <v>26750</v>
      </c>
      <c r="F182" s="2">
        <f>F184+F185+F186+F194+F195+F198+F201</f>
        <v>0</v>
      </c>
    </row>
    <row r="183" spans="1:6" ht="18.75" x14ac:dyDescent="0.25">
      <c r="A183" s="54" t="s">
        <v>9</v>
      </c>
      <c r="B183" s="58"/>
      <c r="C183" s="58"/>
      <c r="D183" s="5"/>
      <c r="E183" s="2"/>
      <c r="F183" s="2"/>
    </row>
    <row r="184" spans="1:6" ht="18.75" x14ac:dyDescent="0.25">
      <c r="A184" s="54" t="s">
        <v>15</v>
      </c>
      <c r="B184" s="58">
        <v>244</v>
      </c>
      <c r="C184" s="58">
        <v>221</v>
      </c>
      <c r="D184" s="5">
        <f t="shared" ref="D184:D186" si="28">E184+F184</f>
        <v>0</v>
      </c>
      <c r="E184" s="2">
        <f>E39-E139</f>
        <v>0</v>
      </c>
      <c r="F184" s="2"/>
    </row>
    <row r="185" spans="1:6" ht="37.5" x14ac:dyDescent="0.25">
      <c r="A185" s="54" t="s">
        <v>16</v>
      </c>
      <c r="B185" s="58">
        <v>244</v>
      </c>
      <c r="C185" s="58">
        <v>222</v>
      </c>
      <c r="D185" s="5">
        <f t="shared" si="28"/>
        <v>0</v>
      </c>
      <c r="E185" s="70">
        <f>E42-E140</f>
        <v>0</v>
      </c>
      <c r="F185" s="2"/>
    </row>
    <row r="186" spans="1:6" ht="37.5" x14ac:dyDescent="0.25">
      <c r="A186" s="54" t="s">
        <v>17</v>
      </c>
      <c r="B186" s="58" t="s">
        <v>5</v>
      </c>
      <c r="C186" s="58">
        <v>223</v>
      </c>
      <c r="D186" s="5">
        <f t="shared" si="28"/>
        <v>0</v>
      </c>
      <c r="E186" s="2">
        <f t="shared" ref="E186:F186" si="29">E188+E189+E190+E191+E192</f>
        <v>0</v>
      </c>
      <c r="F186" s="2">
        <f t="shared" si="29"/>
        <v>0</v>
      </c>
    </row>
    <row r="187" spans="1:6" ht="18.75" x14ac:dyDescent="0.25">
      <c r="A187" s="54" t="s">
        <v>6</v>
      </c>
      <c r="B187" s="58"/>
      <c r="C187" s="58"/>
      <c r="D187" s="5"/>
      <c r="E187" s="2"/>
      <c r="F187" s="2"/>
    </row>
    <row r="188" spans="1:6" ht="56.25" x14ac:dyDescent="0.25">
      <c r="A188" s="54" t="s">
        <v>18</v>
      </c>
      <c r="B188" s="58">
        <v>244</v>
      </c>
      <c r="C188" s="58">
        <v>223</v>
      </c>
      <c r="D188" s="5">
        <f t="shared" ref="D188:D194" si="30">E188+F188</f>
        <v>0</v>
      </c>
      <c r="E188" s="2">
        <f>E46-E143</f>
        <v>0</v>
      </c>
      <c r="F188" s="2"/>
    </row>
    <row r="189" spans="1:6" ht="37.5" x14ac:dyDescent="0.25">
      <c r="A189" s="54" t="s">
        <v>19</v>
      </c>
      <c r="B189" s="58">
        <v>244</v>
      </c>
      <c r="C189" s="58">
        <v>223</v>
      </c>
      <c r="D189" s="5">
        <f t="shared" si="30"/>
        <v>0</v>
      </c>
      <c r="E189" s="2">
        <f>E48-E144</f>
        <v>0</v>
      </c>
      <c r="F189" s="2"/>
    </row>
    <row r="190" spans="1:6" ht="75" x14ac:dyDescent="0.25">
      <c r="A190" s="54" t="s">
        <v>20</v>
      </c>
      <c r="B190" s="58">
        <v>244</v>
      </c>
      <c r="C190" s="58">
        <v>223</v>
      </c>
      <c r="D190" s="5">
        <f t="shared" si="30"/>
        <v>0</v>
      </c>
      <c r="E190" s="2">
        <f>E50-E145</f>
        <v>0</v>
      </c>
      <c r="F190" s="2"/>
    </row>
    <row r="191" spans="1:6" ht="75" x14ac:dyDescent="0.25">
      <c r="A191" s="54" t="s">
        <v>21</v>
      </c>
      <c r="B191" s="58">
        <v>244</v>
      </c>
      <c r="C191" s="58">
        <v>223</v>
      </c>
      <c r="D191" s="5">
        <f t="shared" si="30"/>
        <v>0</v>
      </c>
      <c r="E191" s="2">
        <f>E51-E146</f>
        <v>0</v>
      </c>
      <c r="F191" s="2"/>
    </row>
    <row r="192" spans="1:6" ht="56.25" x14ac:dyDescent="0.25">
      <c r="A192" s="54" t="s">
        <v>22</v>
      </c>
      <c r="B192" s="58">
        <v>244</v>
      </c>
      <c r="C192" s="58">
        <v>223</v>
      </c>
      <c r="D192" s="5">
        <f t="shared" si="30"/>
        <v>0</v>
      </c>
      <c r="E192" s="2">
        <f>E52-E147</f>
        <v>0</v>
      </c>
      <c r="F192" s="2"/>
    </row>
    <row r="193" spans="1:6" ht="56.25" x14ac:dyDescent="0.25">
      <c r="A193" s="195" t="s">
        <v>442</v>
      </c>
      <c r="B193" s="196">
        <v>244</v>
      </c>
      <c r="C193" s="196">
        <v>223</v>
      </c>
      <c r="D193" s="5">
        <f t="shared" ref="D193" si="31">E193+F193</f>
        <v>0</v>
      </c>
      <c r="E193" s="2">
        <f>E53-E148</f>
        <v>0</v>
      </c>
      <c r="F193" s="2"/>
    </row>
    <row r="194" spans="1:6" ht="168.75" x14ac:dyDescent="0.25">
      <c r="A194" s="54" t="s">
        <v>23</v>
      </c>
      <c r="B194" s="58">
        <v>244</v>
      </c>
      <c r="C194" s="58">
        <v>224</v>
      </c>
      <c r="D194" s="5">
        <f t="shared" si="30"/>
        <v>0</v>
      </c>
      <c r="E194" s="2">
        <f>E54-E149</f>
        <v>0</v>
      </c>
      <c r="F194" s="2"/>
    </row>
    <row r="195" spans="1:6" ht="56.25" x14ac:dyDescent="0.25">
      <c r="A195" s="54" t="s">
        <v>24</v>
      </c>
      <c r="B195" s="58" t="s">
        <v>5</v>
      </c>
      <c r="C195" s="58">
        <v>225</v>
      </c>
      <c r="D195" s="2">
        <f t="shared" ref="D195" si="32">D196+D197</f>
        <v>10560</v>
      </c>
      <c r="E195" s="2">
        <f>E196+E197</f>
        <v>10560</v>
      </c>
      <c r="F195" s="2">
        <f t="shared" ref="F195" si="33">F196+F197</f>
        <v>0</v>
      </c>
    </row>
    <row r="196" spans="1:6" ht="18.75" x14ac:dyDescent="0.25">
      <c r="A196" s="221" t="s">
        <v>6</v>
      </c>
      <c r="B196" s="58">
        <v>243</v>
      </c>
      <c r="C196" s="58">
        <v>225</v>
      </c>
      <c r="D196" s="5">
        <f t="shared" ref="D196:D207" si="34">E196+F196</f>
        <v>0</v>
      </c>
      <c r="E196" s="2">
        <f>E56-E151</f>
        <v>0</v>
      </c>
      <c r="F196" s="2"/>
    </row>
    <row r="197" spans="1:6" ht="18.75" x14ac:dyDescent="0.25">
      <c r="A197" s="221"/>
      <c r="B197" s="58">
        <v>244</v>
      </c>
      <c r="C197" s="58">
        <v>225</v>
      </c>
      <c r="D197" s="5">
        <f t="shared" si="34"/>
        <v>10560</v>
      </c>
      <c r="E197" s="2">
        <f>E57-E152</f>
        <v>10560</v>
      </c>
      <c r="F197" s="2"/>
    </row>
    <row r="198" spans="1:6" ht="37.5" x14ac:dyDescent="0.25">
      <c r="A198" s="54" t="s">
        <v>58</v>
      </c>
      <c r="B198" s="58" t="s">
        <v>5</v>
      </c>
      <c r="C198" s="58">
        <v>226</v>
      </c>
      <c r="D198" s="5">
        <f t="shared" si="34"/>
        <v>16190</v>
      </c>
      <c r="E198" s="2">
        <f>E199+E200</f>
        <v>16190</v>
      </c>
      <c r="F198" s="2">
        <f>F199+F200</f>
        <v>0</v>
      </c>
    </row>
    <row r="199" spans="1:6" ht="18.75" x14ac:dyDescent="0.25">
      <c r="A199" s="221" t="s">
        <v>6</v>
      </c>
      <c r="B199" s="58">
        <v>243</v>
      </c>
      <c r="C199" s="58">
        <v>226</v>
      </c>
      <c r="D199" s="5">
        <f t="shared" si="34"/>
        <v>0</v>
      </c>
      <c r="E199" s="2">
        <f>E62-E154</f>
        <v>0</v>
      </c>
      <c r="F199" s="2"/>
    </row>
    <row r="200" spans="1:6" ht="18.75" x14ac:dyDescent="0.25">
      <c r="A200" s="221"/>
      <c r="B200" s="58">
        <v>244</v>
      </c>
      <c r="C200" s="58">
        <v>226</v>
      </c>
      <c r="D200" s="5">
        <f t="shared" si="34"/>
        <v>16190</v>
      </c>
      <c r="E200" s="2">
        <f>E63-E155</f>
        <v>16190</v>
      </c>
      <c r="F200" s="2"/>
    </row>
    <row r="201" spans="1:6" ht="18.75" x14ac:dyDescent="0.25">
      <c r="A201" s="54" t="s">
        <v>25</v>
      </c>
      <c r="B201" s="58">
        <v>244</v>
      </c>
      <c r="C201" s="58">
        <v>227</v>
      </c>
      <c r="D201" s="5">
        <f t="shared" si="34"/>
        <v>0</v>
      </c>
      <c r="E201" s="2">
        <f>E64-E156</f>
        <v>0</v>
      </c>
      <c r="F201" s="2"/>
    </row>
    <row r="202" spans="1:6" ht="56.25" x14ac:dyDescent="0.25">
      <c r="A202" s="170" t="s">
        <v>345</v>
      </c>
      <c r="B202" s="171">
        <v>244</v>
      </c>
      <c r="C202" s="171">
        <v>228</v>
      </c>
      <c r="D202" s="5">
        <f>E202+F202</f>
        <v>0</v>
      </c>
      <c r="E202" s="2">
        <f>E65-E157</f>
        <v>0</v>
      </c>
      <c r="F202" s="2"/>
    </row>
    <row r="203" spans="1:6" ht="18.75" x14ac:dyDescent="0.25">
      <c r="A203" s="54" t="s">
        <v>30</v>
      </c>
      <c r="B203" s="58" t="s">
        <v>5</v>
      </c>
      <c r="C203" s="58">
        <v>290</v>
      </c>
      <c r="D203" s="5">
        <f t="shared" si="34"/>
        <v>0</v>
      </c>
      <c r="E203" s="2">
        <f>E205+E206</f>
        <v>0</v>
      </c>
      <c r="F203" s="2">
        <f>F205+F206</f>
        <v>0</v>
      </c>
    </row>
    <row r="204" spans="1:6" ht="18.75" x14ac:dyDescent="0.25">
      <c r="A204" s="54" t="s">
        <v>9</v>
      </c>
      <c r="B204" s="58"/>
      <c r="C204" s="58"/>
      <c r="D204" s="5">
        <f t="shared" si="34"/>
        <v>0</v>
      </c>
      <c r="E204" s="2"/>
      <c r="F204" s="2"/>
    </row>
    <row r="205" spans="1:6" ht="56.25" x14ac:dyDescent="0.25">
      <c r="A205" s="54" t="s">
        <v>34</v>
      </c>
      <c r="B205" s="58">
        <v>244</v>
      </c>
      <c r="C205" s="58">
        <v>296</v>
      </c>
      <c r="D205" s="5">
        <f t="shared" si="34"/>
        <v>0</v>
      </c>
      <c r="E205" s="2">
        <f>E85-E160</f>
        <v>0</v>
      </c>
      <c r="F205" s="2"/>
    </row>
    <row r="206" spans="1:6" ht="56.25" x14ac:dyDescent="0.25">
      <c r="A206" s="54" t="s">
        <v>35</v>
      </c>
      <c r="B206" s="58">
        <v>244</v>
      </c>
      <c r="C206" s="58">
        <v>297</v>
      </c>
      <c r="D206" s="5">
        <f t="shared" si="34"/>
        <v>0</v>
      </c>
      <c r="E206" s="2">
        <f>E92-E161</f>
        <v>0</v>
      </c>
      <c r="F206" s="2"/>
    </row>
    <row r="207" spans="1:6" ht="56.25" x14ac:dyDescent="0.25">
      <c r="A207" s="54" t="s">
        <v>59</v>
      </c>
      <c r="B207" s="58" t="s">
        <v>5</v>
      </c>
      <c r="C207" s="58">
        <v>300</v>
      </c>
      <c r="D207" s="5">
        <f t="shared" si="34"/>
        <v>2785236.2199999997</v>
      </c>
      <c r="E207" s="2">
        <f>E209+E211+E210</f>
        <v>2785236.2199999997</v>
      </c>
      <c r="F207" s="2">
        <f>F209+F211+F210</f>
        <v>0</v>
      </c>
    </row>
    <row r="208" spans="1:6" ht="18.75" x14ac:dyDescent="0.25">
      <c r="A208" s="54" t="s">
        <v>9</v>
      </c>
      <c r="B208" s="58"/>
      <c r="C208" s="58"/>
      <c r="D208" s="5"/>
      <c r="E208" s="2"/>
      <c r="F208" s="2"/>
    </row>
    <row r="209" spans="1:6" ht="56.25" x14ac:dyDescent="0.25">
      <c r="A209" s="54" t="s">
        <v>36</v>
      </c>
      <c r="B209" s="58">
        <v>244</v>
      </c>
      <c r="C209" s="58">
        <v>310</v>
      </c>
      <c r="D209" s="5">
        <f t="shared" ref="D209:D211" si="35">E209+F209</f>
        <v>2288145.94</v>
      </c>
      <c r="E209" s="2">
        <f>E98-E164</f>
        <v>2288145.94</v>
      </c>
      <c r="F209" s="2"/>
    </row>
    <row r="210" spans="1:6" ht="75" x14ac:dyDescent="0.25">
      <c r="A210" s="54" t="s">
        <v>68</v>
      </c>
      <c r="B210" s="58">
        <v>244</v>
      </c>
      <c r="C210" s="58">
        <v>320</v>
      </c>
      <c r="D210" s="5">
        <f t="shared" si="35"/>
        <v>0</v>
      </c>
      <c r="E210" s="2">
        <f>E99-E165</f>
        <v>0</v>
      </c>
      <c r="F210" s="2"/>
    </row>
    <row r="211" spans="1:6" ht="75" x14ac:dyDescent="0.25">
      <c r="A211" s="54" t="s">
        <v>60</v>
      </c>
      <c r="B211" s="58" t="s">
        <v>5</v>
      </c>
      <c r="C211" s="58">
        <v>340</v>
      </c>
      <c r="D211" s="5">
        <f t="shared" si="35"/>
        <v>497090.28</v>
      </c>
      <c r="E211" s="2">
        <f>E213+E214+E215+E216+E217+E218+E220</f>
        <v>497090.28</v>
      </c>
      <c r="F211" s="2">
        <f>F213+F214+F215+F216+F217+F218+F220</f>
        <v>0</v>
      </c>
    </row>
    <row r="212" spans="1:6" ht="18.75" x14ac:dyDescent="0.25">
      <c r="A212" s="54" t="s">
        <v>6</v>
      </c>
      <c r="B212" s="58"/>
      <c r="C212" s="58"/>
      <c r="D212" s="5"/>
      <c r="E212" s="2"/>
      <c r="F212" s="2"/>
    </row>
    <row r="213" spans="1:6" ht="131.25" x14ac:dyDescent="0.25">
      <c r="A213" s="54" t="s">
        <v>37</v>
      </c>
      <c r="B213" s="58">
        <v>244</v>
      </c>
      <c r="C213" s="58">
        <v>341</v>
      </c>
      <c r="D213" s="5">
        <f t="shared" ref="D213:D220" si="36">E213+F213</f>
        <v>0</v>
      </c>
      <c r="E213" s="2">
        <f t="shared" ref="E213:E219" si="37">E102-E168</f>
        <v>0</v>
      </c>
      <c r="F213" s="2"/>
    </row>
    <row r="214" spans="1:6" ht="56.25" x14ac:dyDescent="0.25">
      <c r="A214" s="54" t="s">
        <v>38</v>
      </c>
      <c r="B214" s="58">
        <v>244</v>
      </c>
      <c r="C214" s="58">
        <v>342</v>
      </c>
      <c r="D214" s="5">
        <f t="shared" si="36"/>
        <v>0</v>
      </c>
      <c r="E214" s="2">
        <f t="shared" si="37"/>
        <v>0</v>
      </c>
      <c r="F214" s="2"/>
    </row>
    <row r="215" spans="1:6" ht="75" x14ac:dyDescent="0.25">
      <c r="A215" s="54" t="s">
        <v>39</v>
      </c>
      <c r="B215" s="58">
        <v>244</v>
      </c>
      <c r="C215" s="58">
        <v>343</v>
      </c>
      <c r="D215" s="5">
        <f t="shared" si="36"/>
        <v>0</v>
      </c>
      <c r="E215" s="2">
        <f t="shared" si="37"/>
        <v>0</v>
      </c>
      <c r="F215" s="2"/>
    </row>
    <row r="216" spans="1:6" ht="75" x14ac:dyDescent="0.25">
      <c r="A216" s="54" t="s">
        <v>40</v>
      </c>
      <c r="B216" s="58">
        <v>244</v>
      </c>
      <c r="C216" s="58">
        <v>344</v>
      </c>
      <c r="D216" s="5">
        <f t="shared" si="36"/>
        <v>0</v>
      </c>
      <c r="E216" s="2">
        <f t="shared" si="37"/>
        <v>0</v>
      </c>
      <c r="F216" s="2"/>
    </row>
    <row r="217" spans="1:6" ht="56.25" x14ac:dyDescent="0.25">
      <c r="A217" s="54" t="s">
        <v>41</v>
      </c>
      <c r="B217" s="58">
        <v>244</v>
      </c>
      <c r="C217" s="58">
        <v>345</v>
      </c>
      <c r="D217" s="5">
        <f t="shared" si="36"/>
        <v>0</v>
      </c>
      <c r="E217" s="2">
        <f t="shared" si="37"/>
        <v>0</v>
      </c>
      <c r="F217" s="2"/>
    </row>
    <row r="218" spans="1:6" ht="75" x14ac:dyDescent="0.25">
      <c r="A218" s="54" t="s">
        <v>42</v>
      </c>
      <c r="B218" s="58">
        <v>244</v>
      </c>
      <c r="C218" s="58">
        <v>346</v>
      </c>
      <c r="D218" s="5">
        <f t="shared" si="36"/>
        <v>487478.28</v>
      </c>
      <c r="E218" s="2">
        <f t="shared" si="37"/>
        <v>487478.28</v>
      </c>
      <c r="F218" s="2"/>
    </row>
    <row r="219" spans="1:6" ht="112.5" x14ac:dyDescent="0.25">
      <c r="A219" s="170" t="s">
        <v>346</v>
      </c>
      <c r="B219" s="171">
        <v>244</v>
      </c>
      <c r="C219" s="171">
        <v>347</v>
      </c>
      <c r="D219" s="5">
        <f t="shared" ref="D219" si="38">E219+F219</f>
        <v>0</v>
      </c>
      <c r="E219" s="2">
        <f t="shared" si="37"/>
        <v>0</v>
      </c>
      <c r="F219" s="2"/>
    </row>
    <row r="220" spans="1:6" ht="112.5" x14ac:dyDescent="0.25">
      <c r="A220" s="54" t="s">
        <v>43</v>
      </c>
      <c r="B220" s="58">
        <v>244</v>
      </c>
      <c r="C220" s="58">
        <v>349</v>
      </c>
      <c r="D220" s="5">
        <f t="shared" si="36"/>
        <v>9612</v>
      </c>
      <c r="E220" s="2">
        <f t="shared" ref="E220" si="39">E109-E175</f>
        <v>9612</v>
      </c>
      <c r="F220" s="2"/>
    </row>
  </sheetData>
  <mergeCells count="35">
    <mergeCell ref="A1:F1"/>
    <mergeCell ref="A2:F2"/>
    <mergeCell ref="A5:A6"/>
    <mergeCell ref="B5:B6"/>
    <mergeCell ref="C5:C6"/>
    <mergeCell ref="D5:D6"/>
    <mergeCell ref="E5:F5"/>
    <mergeCell ref="B121:C121"/>
    <mergeCell ref="E121:F121"/>
    <mergeCell ref="A78:A80"/>
    <mergeCell ref="A85:A90"/>
    <mergeCell ref="A92:A95"/>
    <mergeCell ref="B117:C117"/>
    <mergeCell ref="E117:F117"/>
    <mergeCell ref="B120:C120"/>
    <mergeCell ref="E120:F120"/>
    <mergeCell ref="B118:C118"/>
    <mergeCell ref="E118:F118"/>
    <mergeCell ref="A35:A36"/>
    <mergeCell ref="A41:A42"/>
    <mergeCell ref="A56:A57"/>
    <mergeCell ref="A59:A63"/>
    <mergeCell ref="A71:A72"/>
    <mergeCell ref="B123:C123"/>
    <mergeCell ref="E123:F123"/>
    <mergeCell ref="B124:C124"/>
    <mergeCell ref="E124:F124"/>
    <mergeCell ref="A126:B126"/>
    <mergeCell ref="A196:A197"/>
    <mergeCell ref="A199:A200"/>
    <mergeCell ref="A127:F127"/>
    <mergeCell ref="A131:F131"/>
    <mergeCell ref="A151:A152"/>
    <mergeCell ref="A154:A155"/>
    <mergeCell ref="A176:F176"/>
  </mergeCells>
  <pageMargins left="1.3779527559055118" right="0.39370078740157483" top="0.98425196850393704" bottom="0.78740157480314965" header="0.31496062992125984" footer="0.31496062992125984"/>
  <pageSetup paperSize="9" scale="75" orientation="portrait" r:id="rId1"/>
  <rowBreaks count="1" manualBreakCount="1">
    <brk id="112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116"/>
  <sheetViews>
    <sheetView view="pageBreakPreview" topLeftCell="A103" zoomScaleNormal="100" zoomScaleSheetLayoutView="100" workbookViewId="0">
      <selection activeCell="D110" sqref="D110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6" width="18.5703125" style="7" customWidth="1"/>
    <col min="7" max="16384" width="8.85546875" style="7"/>
  </cols>
  <sheetData>
    <row r="1" spans="1:6" ht="18.75" x14ac:dyDescent="0.25">
      <c r="A1" s="237" t="s">
        <v>262</v>
      </c>
      <c r="B1" s="237"/>
      <c r="C1" s="237"/>
      <c r="D1" s="237"/>
      <c r="E1" s="237"/>
      <c r="F1" s="237"/>
    </row>
    <row r="2" spans="1:6" ht="18.75" x14ac:dyDescent="0.25">
      <c r="A2" s="237" t="s">
        <v>458</v>
      </c>
      <c r="B2" s="237"/>
      <c r="C2" s="237"/>
      <c r="D2" s="237"/>
      <c r="E2" s="237"/>
      <c r="F2" s="237"/>
    </row>
    <row r="3" spans="1:6" x14ac:dyDescent="0.25">
      <c r="A3" s="30"/>
    </row>
    <row r="4" spans="1:6" ht="19.5" thickBot="1" x14ac:dyDescent="0.3">
      <c r="A4" s="6"/>
      <c r="F4" s="6" t="s">
        <v>51</v>
      </c>
    </row>
    <row r="5" spans="1:6" ht="52.9" customHeight="1" x14ac:dyDescent="0.25">
      <c r="A5" s="229" t="s">
        <v>0</v>
      </c>
      <c r="B5" s="231" t="s">
        <v>45</v>
      </c>
      <c r="C5" s="233" t="s">
        <v>46</v>
      </c>
      <c r="D5" s="231" t="s">
        <v>1</v>
      </c>
      <c r="E5" s="231" t="s">
        <v>197</v>
      </c>
      <c r="F5" s="241"/>
    </row>
    <row r="6" spans="1:6" ht="15.75" x14ac:dyDescent="0.25">
      <c r="A6" s="243"/>
      <c r="B6" s="242"/>
      <c r="C6" s="244"/>
      <c r="D6" s="242"/>
      <c r="E6" s="245" t="s">
        <v>6</v>
      </c>
      <c r="F6" s="246"/>
    </row>
    <row r="7" spans="1:6" ht="221.25" thickBot="1" x14ac:dyDescent="0.3">
      <c r="A7" s="230"/>
      <c r="B7" s="232"/>
      <c r="C7" s="234"/>
      <c r="D7" s="232"/>
      <c r="E7" s="120" t="s">
        <v>198</v>
      </c>
      <c r="F7" s="38" t="s">
        <v>199</v>
      </c>
    </row>
    <row r="8" spans="1:6" ht="15.75" thickBot="1" x14ac:dyDescent="0.3">
      <c r="A8" s="43">
        <v>1</v>
      </c>
      <c r="B8" s="44">
        <v>2</v>
      </c>
      <c r="C8" s="44">
        <v>3</v>
      </c>
      <c r="D8" s="44">
        <v>4</v>
      </c>
      <c r="E8" s="44">
        <v>5</v>
      </c>
      <c r="F8" s="45">
        <v>6</v>
      </c>
    </row>
    <row r="9" spans="1:6" ht="37.5" x14ac:dyDescent="0.25">
      <c r="A9" s="121" t="s">
        <v>236</v>
      </c>
      <c r="B9" s="123" t="s">
        <v>5</v>
      </c>
      <c r="C9" s="123" t="s">
        <v>5</v>
      </c>
      <c r="D9" s="5">
        <f t="shared" ref="D9:D10" si="0">E9+F9</f>
        <v>2811986.2199999997</v>
      </c>
      <c r="E9" s="2">
        <f>E10</f>
        <v>2811986.2199999997</v>
      </c>
      <c r="F9" s="4"/>
    </row>
    <row r="10" spans="1:6" ht="18.75" x14ac:dyDescent="0.25">
      <c r="A10" s="121" t="s">
        <v>7</v>
      </c>
      <c r="B10" s="123" t="s">
        <v>5</v>
      </c>
      <c r="C10" s="123">
        <v>900</v>
      </c>
      <c r="D10" s="5">
        <f t="shared" si="0"/>
        <v>2811986.2199999997</v>
      </c>
      <c r="E10" s="2">
        <f>E13+E46+E61+E91</f>
        <v>2811986.2199999997</v>
      </c>
      <c r="F10" s="2">
        <f>F13+F46+F61+F91</f>
        <v>0</v>
      </c>
    </row>
    <row r="11" spans="1:6" ht="18.75" x14ac:dyDescent="0.25">
      <c r="A11" s="121" t="s">
        <v>6</v>
      </c>
      <c r="B11" s="123"/>
      <c r="C11" s="123"/>
      <c r="D11" s="5"/>
      <c r="E11" s="2"/>
      <c r="F11" s="4"/>
    </row>
    <row r="12" spans="1:6" ht="33.6" customHeight="1" x14ac:dyDescent="0.25">
      <c r="A12" s="238" t="s">
        <v>200</v>
      </c>
      <c r="B12" s="239"/>
      <c r="C12" s="239"/>
      <c r="D12" s="239"/>
      <c r="E12" s="239"/>
      <c r="F12" s="240"/>
    </row>
    <row r="13" spans="1:6" ht="18.75" x14ac:dyDescent="0.25">
      <c r="A13" s="121" t="s">
        <v>8</v>
      </c>
      <c r="B13" s="123" t="s">
        <v>5</v>
      </c>
      <c r="C13" s="123">
        <v>200</v>
      </c>
      <c r="D13" s="5">
        <f t="shared" ref="D13:D50" si="1">E13+F13</f>
        <v>0</v>
      </c>
      <c r="E13" s="2">
        <f>E15+E18+E42</f>
        <v>0</v>
      </c>
      <c r="F13" s="2">
        <f>F15+F18+F42</f>
        <v>0</v>
      </c>
    </row>
    <row r="14" spans="1:6" ht="14.45" customHeight="1" x14ac:dyDescent="0.25">
      <c r="A14" s="121" t="s">
        <v>9</v>
      </c>
      <c r="B14" s="123"/>
      <c r="C14" s="123"/>
      <c r="D14" s="5"/>
      <c r="E14" s="2"/>
      <c r="F14" s="2"/>
    </row>
    <row r="15" spans="1:6" ht="75" x14ac:dyDescent="0.25">
      <c r="A15" s="121" t="s">
        <v>10</v>
      </c>
      <c r="B15" s="123" t="s">
        <v>5</v>
      </c>
      <c r="C15" s="123">
        <v>210</v>
      </c>
      <c r="D15" s="5">
        <f t="shared" si="1"/>
        <v>0</v>
      </c>
      <c r="E15" s="2">
        <f>E17</f>
        <v>0</v>
      </c>
      <c r="F15" s="2">
        <f>F17</f>
        <v>0</v>
      </c>
    </row>
    <row r="16" spans="1:6" ht="18.75" x14ac:dyDescent="0.25">
      <c r="A16" s="121" t="s">
        <v>9</v>
      </c>
      <c r="B16" s="123"/>
      <c r="C16" s="123"/>
      <c r="D16" s="5"/>
      <c r="E16" s="2"/>
      <c r="F16" s="2"/>
    </row>
    <row r="17" spans="1:6" ht="93.75" x14ac:dyDescent="0.25">
      <c r="A17" s="121" t="s">
        <v>201</v>
      </c>
      <c r="B17" s="123">
        <v>244</v>
      </c>
      <c r="C17" s="123">
        <v>214</v>
      </c>
      <c r="D17" s="5">
        <f>E17+F17</f>
        <v>0</v>
      </c>
      <c r="E17" s="2">
        <f>'платные на 2022 год '!E136</f>
        <v>0</v>
      </c>
      <c r="F17" s="2"/>
    </row>
    <row r="18" spans="1:6" ht="37.5" x14ac:dyDescent="0.25">
      <c r="A18" s="121" t="s">
        <v>14</v>
      </c>
      <c r="B18" s="123" t="s">
        <v>5</v>
      </c>
      <c r="C18" s="123">
        <v>220</v>
      </c>
      <c r="D18" s="5">
        <f t="shared" si="1"/>
        <v>0</v>
      </c>
      <c r="E18" s="2">
        <f>E20+E21+E22+E33+E34+E37+E40+E41</f>
        <v>0</v>
      </c>
      <c r="F18" s="2">
        <f>F20+F21+F22+F33+F34+F37+F40</f>
        <v>0</v>
      </c>
    </row>
    <row r="19" spans="1:6" ht="18.75" x14ac:dyDescent="0.25">
      <c r="A19" s="121" t="s">
        <v>9</v>
      </c>
      <c r="B19" s="123"/>
      <c r="C19" s="123"/>
      <c r="D19" s="5"/>
      <c r="E19" s="2"/>
      <c r="F19" s="2"/>
    </row>
    <row r="20" spans="1:6" ht="18.75" x14ac:dyDescent="0.25">
      <c r="A20" s="121" t="s">
        <v>15</v>
      </c>
      <c r="B20" s="123">
        <v>244</v>
      </c>
      <c r="C20" s="123">
        <v>221</v>
      </c>
      <c r="D20" s="5">
        <f t="shared" si="1"/>
        <v>0</v>
      </c>
      <c r="E20" s="2">
        <f>'платные на 2022 год '!E139</f>
        <v>0</v>
      </c>
      <c r="F20" s="2"/>
    </row>
    <row r="21" spans="1:6" ht="37.5" x14ac:dyDescent="0.25">
      <c r="A21" s="121" t="s">
        <v>16</v>
      </c>
      <c r="B21" s="123">
        <v>244</v>
      </c>
      <c r="C21" s="123">
        <v>222</v>
      </c>
      <c r="D21" s="5">
        <f t="shared" si="1"/>
        <v>0</v>
      </c>
      <c r="E21" s="2">
        <f>'платные на 2022 год '!E140</f>
        <v>0</v>
      </c>
      <c r="F21" s="2"/>
    </row>
    <row r="22" spans="1:6" ht="37.5" x14ac:dyDescent="0.25">
      <c r="A22" s="121" t="s">
        <v>17</v>
      </c>
      <c r="B22" s="123" t="s">
        <v>5</v>
      </c>
      <c r="C22" s="123">
        <v>223</v>
      </c>
      <c r="D22" s="5">
        <f t="shared" si="1"/>
        <v>0</v>
      </c>
      <c r="E22" s="2">
        <f t="shared" ref="E22:F22" si="2">E25+E27+E29+E30+E31</f>
        <v>0</v>
      </c>
      <c r="F22" s="2">
        <f t="shared" si="2"/>
        <v>0</v>
      </c>
    </row>
    <row r="23" spans="1:6" ht="18.75" x14ac:dyDescent="0.25">
      <c r="A23" s="121" t="s">
        <v>6</v>
      </c>
      <c r="B23" s="123"/>
      <c r="C23" s="123"/>
      <c r="D23" s="5"/>
      <c r="E23" s="2"/>
      <c r="F23" s="2"/>
    </row>
    <row r="24" spans="1:6" ht="56.25" x14ac:dyDescent="0.25">
      <c r="A24" s="190" t="s">
        <v>18</v>
      </c>
      <c r="B24" s="191">
        <v>244</v>
      </c>
      <c r="C24" s="191">
        <v>223</v>
      </c>
      <c r="D24" s="5">
        <f t="shared" ref="D24" si="3">E24+F24</f>
        <v>0</v>
      </c>
      <c r="E24" s="2">
        <f>'платные на 2022 год '!E142</f>
        <v>0</v>
      </c>
      <c r="F24" s="2"/>
    </row>
    <row r="25" spans="1:6" ht="56.25" x14ac:dyDescent="0.25">
      <c r="A25" s="121" t="s">
        <v>18</v>
      </c>
      <c r="B25" s="123">
        <v>247</v>
      </c>
      <c r="C25" s="123">
        <v>223</v>
      </c>
      <c r="D25" s="5">
        <f t="shared" si="1"/>
        <v>0</v>
      </c>
      <c r="E25" s="2">
        <f>'платные на 2022 год '!E143</f>
        <v>0</v>
      </c>
      <c r="F25" s="2"/>
    </row>
    <row r="26" spans="1:6" ht="37.5" x14ac:dyDescent="0.25">
      <c r="A26" s="190" t="s">
        <v>19</v>
      </c>
      <c r="B26" s="191">
        <v>244</v>
      </c>
      <c r="C26" s="191">
        <v>223</v>
      </c>
      <c r="D26" s="5">
        <f t="shared" ref="D26" si="4">E26+F26</f>
        <v>0</v>
      </c>
      <c r="E26" s="2">
        <f>'платные на 2022 год '!E143</f>
        <v>0</v>
      </c>
      <c r="F26" s="2"/>
    </row>
    <row r="27" spans="1:6" ht="37.5" x14ac:dyDescent="0.25">
      <c r="A27" s="121" t="s">
        <v>19</v>
      </c>
      <c r="B27" s="123">
        <v>247</v>
      </c>
      <c r="C27" s="123">
        <v>223</v>
      </c>
      <c r="D27" s="5">
        <f t="shared" si="1"/>
        <v>0</v>
      </c>
      <c r="E27" s="2">
        <f>'платные на 2022 год '!E144</f>
        <v>0</v>
      </c>
      <c r="F27" s="2"/>
    </row>
    <row r="28" spans="1:6" ht="75" x14ac:dyDescent="0.25">
      <c r="A28" s="190" t="s">
        <v>20</v>
      </c>
      <c r="B28" s="191">
        <v>244</v>
      </c>
      <c r="C28" s="191">
        <v>223</v>
      </c>
      <c r="D28" s="5">
        <f t="shared" ref="D28" si="5">E28+F28</f>
        <v>0</v>
      </c>
      <c r="E28" s="2">
        <f>'платные на 2022 год '!E144</f>
        <v>0</v>
      </c>
      <c r="F28" s="2"/>
    </row>
    <row r="29" spans="1:6" ht="75" x14ac:dyDescent="0.25">
      <c r="A29" s="121" t="s">
        <v>20</v>
      </c>
      <c r="B29" s="123">
        <v>247</v>
      </c>
      <c r="C29" s="123">
        <v>223</v>
      </c>
      <c r="D29" s="5">
        <f t="shared" si="1"/>
        <v>0</v>
      </c>
      <c r="E29" s="2">
        <f>'платные на 2022 год '!E145</f>
        <v>0</v>
      </c>
      <c r="F29" s="2"/>
    </row>
    <row r="30" spans="1:6" ht="75" x14ac:dyDescent="0.25">
      <c r="A30" s="121" t="s">
        <v>21</v>
      </c>
      <c r="B30" s="123">
        <v>244</v>
      </c>
      <c r="C30" s="123">
        <v>223</v>
      </c>
      <c r="D30" s="5">
        <f t="shared" si="1"/>
        <v>0</v>
      </c>
      <c r="E30" s="2">
        <f>'платные на 2022 год '!E146</f>
        <v>0</v>
      </c>
      <c r="F30" s="2"/>
    </row>
    <row r="31" spans="1:6" ht="56.25" x14ac:dyDescent="0.25">
      <c r="A31" s="121" t="s">
        <v>22</v>
      </c>
      <c r="B31" s="123">
        <v>244</v>
      </c>
      <c r="C31" s="123">
        <v>223</v>
      </c>
      <c r="D31" s="5">
        <f t="shared" si="1"/>
        <v>0</v>
      </c>
      <c r="E31" s="2">
        <f>'платные на 2022 год '!E147</f>
        <v>0</v>
      </c>
      <c r="F31" s="2"/>
    </row>
    <row r="32" spans="1:6" ht="56.25" x14ac:dyDescent="0.25">
      <c r="A32" s="195" t="s">
        <v>442</v>
      </c>
      <c r="B32" s="196">
        <v>244</v>
      </c>
      <c r="C32" s="196">
        <v>223</v>
      </c>
      <c r="D32" s="5">
        <f t="shared" ref="D32" si="6">E32+F32</f>
        <v>0</v>
      </c>
      <c r="E32" s="2">
        <f>'платные на 2022 год '!E148</f>
        <v>0</v>
      </c>
      <c r="F32" s="2"/>
    </row>
    <row r="33" spans="1:6" ht="168.75" x14ac:dyDescent="0.25">
      <c r="A33" s="121" t="s">
        <v>23</v>
      </c>
      <c r="B33" s="123">
        <v>244</v>
      </c>
      <c r="C33" s="123">
        <v>224</v>
      </c>
      <c r="D33" s="5">
        <f t="shared" si="1"/>
        <v>0</v>
      </c>
      <c r="E33" s="2">
        <f>'платные на 2022 год '!E149</f>
        <v>0</v>
      </c>
      <c r="F33" s="2"/>
    </row>
    <row r="34" spans="1:6" ht="56.25" x14ac:dyDescent="0.25">
      <c r="A34" s="121" t="s">
        <v>24</v>
      </c>
      <c r="B34" s="123" t="s">
        <v>5</v>
      </c>
      <c r="C34" s="123">
        <v>225</v>
      </c>
      <c r="D34" s="2">
        <f t="shared" ref="D34:F34" si="7">D35+D36</f>
        <v>0</v>
      </c>
      <c r="E34" s="2">
        <f>E35+E36</f>
        <v>0</v>
      </c>
      <c r="F34" s="2">
        <f t="shared" si="7"/>
        <v>0</v>
      </c>
    </row>
    <row r="35" spans="1:6" ht="18.75" x14ac:dyDescent="0.25">
      <c r="A35" s="221" t="s">
        <v>6</v>
      </c>
      <c r="B35" s="123">
        <v>243</v>
      </c>
      <c r="C35" s="123">
        <v>225</v>
      </c>
      <c r="D35" s="5">
        <f t="shared" si="1"/>
        <v>0</v>
      </c>
      <c r="E35" s="2">
        <f>'платные на 2022 год '!E151</f>
        <v>0</v>
      </c>
      <c r="F35" s="2"/>
    </row>
    <row r="36" spans="1:6" ht="18.75" x14ac:dyDescent="0.25">
      <c r="A36" s="221"/>
      <c r="B36" s="123">
        <v>244</v>
      </c>
      <c r="C36" s="123">
        <v>225</v>
      </c>
      <c r="D36" s="5">
        <f t="shared" si="1"/>
        <v>0</v>
      </c>
      <c r="E36" s="2">
        <f>'платные на 2022 год '!E152</f>
        <v>0</v>
      </c>
      <c r="F36" s="2"/>
    </row>
    <row r="37" spans="1:6" ht="37.5" x14ac:dyDescent="0.25">
      <c r="A37" s="121" t="s">
        <v>58</v>
      </c>
      <c r="B37" s="123" t="s">
        <v>5</v>
      </c>
      <c r="C37" s="123">
        <v>226</v>
      </c>
      <c r="D37" s="5">
        <f t="shared" si="1"/>
        <v>0</v>
      </c>
      <c r="E37" s="2">
        <f>E38+E39</f>
        <v>0</v>
      </c>
      <c r="F37" s="2">
        <f>F38+F39</f>
        <v>0</v>
      </c>
    </row>
    <row r="38" spans="1:6" ht="18.75" x14ac:dyDescent="0.25">
      <c r="A38" s="221" t="s">
        <v>6</v>
      </c>
      <c r="B38" s="123">
        <v>243</v>
      </c>
      <c r="C38" s="123">
        <v>226</v>
      </c>
      <c r="D38" s="5">
        <f t="shared" si="1"/>
        <v>0</v>
      </c>
      <c r="E38" s="2">
        <f>'платные на 2022 год '!E154</f>
        <v>0</v>
      </c>
      <c r="F38" s="2"/>
    </row>
    <row r="39" spans="1:6" ht="18.75" x14ac:dyDescent="0.25">
      <c r="A39" s="221"/>
      <c r="B39" s="123">
        <v>244</v>
      </c>
      <c r="C39" s="123">
        <v>226</v>
      </c>
      <c r="D39" s="5">
        <f t="shared" si="1"/>
        <v>0</v>
      </c>
      <c r="E39" s="2">
        <f>'платные на 2022 год '!E155</f>
        <v>0</v>
      </c>
      <c r="F39" s="2"/>
    </row>
    <row r="40" spans="1:6" ht="18.75" x14ac:dyDescent="0.25">
      <c r="A40" s="121" t="s">
        <v>25</v>
      </c>
      <c r="B40" s="123">
        <v>244</v>
      </c>
      <c r="C40" s="123">
        <v>227</v>
      </c>
      <c r="D40" s="5">
        <f t="shared" si="1"/>
        <v>0</v>
      </c>
      <c r="E40" s="2">
        <f>'платные на 2022 год '!E156</f>
        <v>0</v>
      </c>
      <c r="F40" s="2"/>
    </row>
    <row r="41" spans="1:6" ht="56.25" x14ac:dyDescent="0.25">
      <c r="A41" s="170" t="s">
        <v>345</v>
      </c>
      <c r="B41" s="171">
        <v>244</v>
      </c>
      <c r="C41" s="171">
        <v>228</v>
      </c>
      <c r="D41" s="5">
        <f t="shared" ref="D41" si="8">E41+F41</f>
        <v>0</v>
      </c>
      <c r="E41" s="2">
        <f>'платные на 2022 год '!E157</f>
        <v>0</v>
      </c>
      <c r="F41" s="2"/>
    </row>
    <row r="42" spans="1:6" ht="18.75" x14ac:dyDescent="0.25">
      <c r="A42" s="121" t="s">
        <v>30</v>
      </c>
      <c r="B42" s="123" t="s">
        <v>5</v>
      </c>
      <c r="C42" s="123">
        <v>290</v>
      </c>
      <c r="D42" s="5">
        <f t="shared" si="1"/>
        <v>0</v>
      </c>
      <c r="E42" s="2">
        <f>E44+E45</f>
        <v>0</v>
      </c>
      <c r="F42" s="2">
        <f>F44+F45</f>
        <v>0</v>
      </c>
    </row>
    <row r="43" spans="1:6" ht="18.75" x14ac:dyDescent="0.25">
      <c r="A43" s="121" t="s">
        <v>9</v>
      </c>
      <c r="B43" s="123"/>
      <c r="C43" s="123"/>
      <c r="D43" s="5">
        <f t="shared" si="1"/>
        <v>0</v>
      </c>
      <c r="E43" s="2"/>
      <c r="F43" s="2"/>
    </row>
    <row r="44" spans="1:6" ht="56.25" x14ac:dyDescent="0.25">
      <c r="A44" s="121" t="s">
        <v>34</v>
      </c>
      <c r="B44" s="123">
        <v>244</v>
      </c>
      <c r="C44" s="123">
        <v>296</v>
      </c>
      <c r="D44" s="5">
        <f t="shared" si="1"/>
        <v>0</v>
      </c>
      <c r="E44" s="2">
        <f>'платные на 2022 год '!E160</f>
        <v>0</v>
      </c>
      <c r="F44" s="2"/>
    </row>
    <row r="45" spans="1:6" ht="56.25" x14ac:dyDescent="0.25">
      <c r="A45" s="121" t="s">
        <v>35</v>
      </c>
      <c r="B45" s="123">
        <v>244</v>
      </c>
      <c r="C45" s="123">
        <v>297</v>
      </c>
      <c r="D45" s="5">
        <f t="shared" si="1"/>
        <v>0</v>
      </c>
      <c r="E45" s="2">
        <f>'платные на 2022 год '!E161</f>
        <v>0</v>
      </c>
      <c r="F45" s="2"/>
    </row>
    <row r="46" spans="1:6" ht="56.25" x14ac:dyDescent="0.25">
      <c r="A46" s="121" t="s">
        <v>59</v>
      </c>
      <c r="B46" s="123" t="s">
        <v>5</v>
      </c>
      <c r="C46" s="123">
        <v>300</v>
      </c>
      <c r="D46" s="5">
        <f t="shared" si="1"/>
        <v>0</v>
      </c>
      <c r="E46" s="2">
        <f>E48+E50+E49</f>
        <v>0</v>
      </c>
      <c r="F46" s="2">
        <f>F48+F50+F49</f>
        <v>0</v>
      </c>
    </row>
    <row r="47" spans="1:6" ht="18.75" x14ac:dyDescent="0.25">
      <c r="A47" s="121" t="s">
        <v>9</v>
      </c>
      <c r="B47" s="123"/>
      <c r="C47" s="123"/>
      <c r="D47" s="5"/>
      <c r="E47" s="2"/>
      <c r="F47" s="2"/>
    </row>
    <row r="48" spans="1:6" ht="14.45" customHeight="1" x14ac:dyDescent="0.25">
      <c r="A48" s="121" t="s">
        <v>36</v>
      </c>
      <c r="B48" s="123">
        <v>244</v>
      </c>
      <c r="C48" s="123">
        <v>310</v>
      </c>
      <c r="D48" s="5">
        <f t="shared" si="1"/>
        <v>0</v>
      </c>
      <c r="E48" s="2">
        <f>'платные на 2022 год '!E164</f>
        <v>0</v>
      </c>
      <c r="F48" s="2"/>
    </row>
    <row r="49" spans="1:6" ht="75" x14ac:dyDescent="0.25">
      <c r="A49" s="121" t="s">
        <v>68</v>
      </c>
      <c r="B49" s="123">
        <v>244</v>
      </c>
      <c r="C49" s="123">
        <v>320</v>
      </c>
      <c r="D49" s="5">
        <f t="shared" si="1"/>
        <v>0</v>
      </c>
      <c r="E49" s="2">
        <f>'платные на 2022 год '!E165</f>
        <v>0</v>
      </c>
      <c r="F49" s="2"/>
    </row>
    <row r="50" spans="1:6" ht="75" x14ac:dyDescent="0.25">
      <c r="A50" s="121" t="s">
        <v>60</v>
      </c>
      <c r="B50" s="123" t="s">
        <v>5</v>
      </c>
      <c r="C50" s="123">
        <v>340</v>
      </c>
      <c r="D50" s="5">
        <f t="shared" si="1"/>
        <v>0</v>
      </c>
      <c r="E50" s="2">
        <f>E52+E53+E54+E55+E56+E57+E58+E59</f>
        <v>0</v>
      </c>
      <c r="F50" s="2">
        <f>F52+F53+F54+F55+F56+F57+F59</f>
        <v>0</v>
      </c>
    </row>
    <row r="51" spans="1:6" ht="18.75" x14ac:dyDescent="0.25">
      <c r="A51" s="121" t="s">
        <v>6</v>
      </c>
      <c r="B51" s="123"/>
      <c r="C51" s="123"/>
      <c r="D51" s="5"/>
      <c r="E51" s="2"/>
      <c r="F51" s="2"/>
    </row>
    <row r="52" spans="1:6" ht="131.25" x14ac:dyDescent="0.25">
      <c r="A52" s="121" t="s">
        <v>37</v>
      </c>
      <c r="B52" s="123">
        <v>244</v>
      </c>
      <c r="C52" s="123">
        <v>341</v>
      </c>
      <c r="D52" s="5">
        <f t="shared" ref="D52:D59" si="9">E52+F52</f>
        <v>0</v>
      </c>
      <c r="E52" s="2">
        <f>'платные на 2022 год '!E168</f>
        <v>0</v>
      </c>
      <c r="F52" s="2"/>
    </row>
    <row r="53" spans="1:6" ht="56.25" x14ac:dyDescent="0.25">
      <c r="A53" s="121" t="s">
        <v>38</v>
      </c>
      <c r="B53" s="123">
        <v>244</v>
      </c>
      <c r="C53" s="123">
        <v>342</v>
      </c>
      <c r="D53" s="5">
        <f t="shared" si="9"/>
        <v>0</v>
      </c>
      <c r="E53" s="2">
        <f>'платные на 2022 год '!E169</f>
        <v>0</v>
      </c>
      <c r="F53" s="2"/>
    </row>
    <row r="54" spans="1:6" ht="75" x14ac:dyDescent="0.25">
      <c r="A54" s="121" t="s">
        <v>39</v>
      </c>
      <c r="B54" s="123">
        <v>244</v>
      </c>
      <c r="C54" s="123">
        <v>343</v>
      </c>
      <c r="D54" s="5">
        <f t="shared" si="9"/>
        <v>0</v>
      </c>
      <c r="E54" s="2">
        <f>'платные на 2022 год '!E170</f>
        <v>0</v>
      </c>
      <c r="F54" s="2"/>
    </row>
    <row r="55" spans="1:6" ht="75" x14ac:dyDescent="0.25">
      <c r="A55" s="121" t="s">
        <v>40</v>
      </c>
      <c r="B55" s="123">
        <v>244</v>
      </c>
      <c r="C55" s="123">
        <v>344</v>
      </c>
      <c r="D55" s="5">
        <f t="shared" si="9"/>
        <v>0</v>
      </c>
      <c r="E55" s="2">
        <f>'платные на 2022 год '!E171</f>
        <v>0</v>
      </c>
      <c r="F55" s="2"/>
    </row>
    <row r="56" spans="1:6" ht="56.25" x14ac:dyDescent="0.25">
      <c r="A56" s="121" t="s">
        <v>41</v>
      </c>
      <c r="B56" s="123">
        <v>244</v>
      </c>
      <c r="C56" s="123">
        <v>345</v>
      </c>
      <c r="D56" s="5">
        <f t="shared" si="9"/>
        <v>0</v>
      </c>
      <c r="E56" s="2">
        <f>'платные на 2022 год '!E172</f>
        <v>0</v>
      </c>
      <c r="F56" s="2"/>
    </row>
    <row r="57" spans="1:6" ht="75" x14ac:dyDescent="0.25">
      <c r="A57" s="121" t="s">
        <v>42</v>
      </c>
      <c r="B57" s="123">
        <v>244</v>
      </c>
      <c r="C57" s="123">
        <v>346</v>
      </c>
      <c r="D57" s="5">
        <f t="shared" si="9"/>
        <v>0</v>
      </c>
      <c r="E57" s="2">
        <f>'платные на 2022 год '!E173</f>
        <v>0</v>
      </c>
      <c r="F57" s="2"/>
    </row>
    <row r="58" spans="1:6" ht="112.5" x14ac:dyDescent="0.25">
      <c r="A58" s="170" t="s">
        <v>346</v>
      </c>
      <c r="B58" s="171">
        <v>244</v>
      </c>
      <c r="C58" s="171">
        <v>347</v>
      </c>
      <c r="D58" s="5">
        <f t="shared" ref="D58" si="10">E58+F58</f>
        <v>0</v>
      </c>
      <c r="E58" s="2">
        <f>'платные на 2022 год '!E174</f>
        <v>0</v>
      </c>
      <c r="F58" s="2"/>
    </row>
    <row r="59" spans="1:6" ht="112.5" x14ac:dyDescent="0.25">
      <c r="A59" s="121" t="s">
        <v>43</v>
      </c>
      <c r="B59" s="123">
        <v>244</v>
      </c>
      <c r="C59" s="123">
        <v>349</v>
      </c>
      <c r="D59" s="5">
        <f t="shared" si="9"/>
        <v>0</v>
      </c>
      <c r="E59" s="2">
        <f>'платные на 2022 год '!E175</f>
        <v>0</v>
      </c>
      <c r="F59" s="2"/>
    </row>
    <row r="60" spans="1:6" ht="32.450000000000003" customHeight="1" x14ac:dyDescent="0.25">
      <c r="A60" s="238" t="s">
        <v>202</v>
      </c>
      <c r="B60" s="239"/>
      <c r="C60" s="239"/>
      <c r="D60" s="239"/>
      <c r="E60" s="239"/>
      <c r="F60" s="240"/>
    </row>
    <row r="61" spans="1:6" ht="18.75" x14ac:dyDescent="0.25">
      <c r="A61" s="121" t="s">
        <v>8</v>
      </c>
      <c r="B61" s="123" t="s">
        <v>5</v>
      </c>
      <c r="C61" s="123">
        <v>200</v>
      </c>
      <c r="D61" s="5">
        <f t="shared" ref="D61" si="11">E61+F61</f>
        <v>26750</v>
      </c>
      <c r="E61" s="2">
        <f>E63+E66+E87</f>
        <v>26750</v>
      </c>
      <c r="F61" s="2">
        <f>F63+F66+F87</f>
        <v>0</v>
      </c>
    </row>
    <row r="62" spans="1:6" ht="18.75" x14ac:dyDescent="0.25">
      <c r="A62" s="121" t="s">
        <v>9</v>
      </c>
      <c r="B62" s="123"/>
      <c r="C62" s="123"/>
      <c r="D62" s="5"/>
      <c r="E62" s="2"/>
      <c r="F62" s="2"/>
    </row>
    <row r="63" spans="1:6" ht="75" x14ac:dyDescent="0.25">
      <c r="A63" s="121" t="s">
        <v>10</v>
      </c>
      <c r="B63" s="123" t="s">
        <v>5</v>
      </c>
      <c r="C63" s="123">
        <v>210</v>
      </c>
      <c r="D63" s="5">
        <f t="shared" ref="D63" si="12">E63+F63</f>
        <v>0</v>
      </c>
      <c r="E63" s="2">
        <f>E65</f>
        <v>0</v>
      </c>
      <c r="F63" s="2">
        <f>F65</f>
        <v>0</v>
      </c>
    </row>
    <row r="64" spans="1:6" ht="18.75" x14ac:dyDescent="0.25">
      <c r="A64" s="121" t="s">
        <v>9</v>
      </c>
      <c r="B64" s="123"/>
      <c r="C64" s="123"/>
      <c r="D64" s="5"/>
      <c r="E64" s="2"/>
      <c r="F64" s="2"/>
    </row>
    <row r="65" spans="1:6" ht="93.75" x14ac:dyDescent="0.25">
      <c r="A65" s="121" t="s">
        <v>201</v>
      </c>
      <c r="B65" s="123">
        <v>244</v>
      </c>
      <c r="C65" s="123">
        <v>214</v>
      </c>
      <c r="D65" s="5">
        <f>E65+F65</f>
        <v>0</v>
      </c>
      <c r="E65" s="2">
        <f>'платные на 2022 год '!E181</f>
        <v>0</v>
      </c>
      <c r="F65" s="2"/>
    </row>
    <row r="66" spans="1:6" ht="37.5" x14ac:dyDescent="0.25">
      <c r="A66" s="121" t="s">
        <v>14</v>
      </c>
      <c r="B66" s="123" t="s">
        <v>5</v>
      </c>
      <c r="C66" s="123">
        <v>220</v>
      </c>
      <c r="D66" s="5">
        <f t="shared" ref="D66" si="13">E66+F66</f>
        <v>26750</v>
      </c>
      <c r="E66" s="2">
        <f>E68+E69+E70+E78+E79+E82+E85+E86</f>
        <v>26750</v>
      </c>
      <c r="F66" s="2">
        <f>F68+F69+F70+F78+F79+F82+F85</f>
        <v>0</v>
      </c>
    </row>
    <row r="67" spans="1:6" ht="18.75" x14ac:dyDescent="0.25">
      <c r="A67" s="121" t="s">
        <v>9</v>
      </c>
      <c r="B67" s="123"/>
      <c r="C67" s="123"/>
      <c r="D67" s="5"/>
      <c r="E67" s="2"/>
      <c r="F67" s="2"/>
    </row>
    <row r="68" spans="1:6" ht="18.75" x14ac:dyDescent="0.25">
      <c r="A68" s="121" t="s">
        <v>15</v>
      </c>
      <c r="B68" s="123">
        <v>244</v>
      </c>
      <c r="C68" s="123">
        <v>221</v>
      </c>
      <c r="D68" s="5">
        <f t="shared" ref="D68:D70" si="14">E68+F68</f>
        <v>0</v>
      </c>
      <c r="E68" s="2">
        <f>'платные на 2022 год '!E184</f>
        <v>0</v>
      </c>
      <c r="F68" s="2"/>
    </row>
    <row r="69" spans="1:6" ht="37.5" x14ac:dyDescent="0.25">
      <c r="A69" s="121" t="s">
        <v>16</v>
      </c>
      <c r="B69" s="123">
        <v>244</v>
      </c>
      <c r="C69" s="123">
        <v>222</v>
      </c>
      <c r="D69" s="5">
        <f t="shared" si="14"/>
        <v>0</v>
      </c>
      <c r="E69" s="2">
        <f>'платные на 2022 год '!E185</f>
        <v>0</v>
      </c>
      <c r="F69" s="2"/>
    </row>
    <row r="70" spans="1:6" ht="37.5" x14ac:dyDescent="0.25">
      <c r="A70" s="121" t="s">
        <v>17</v>
      </c>
      <c r="B70" s="123" t="s">
        <v>5</v>
      </c>
      <c r="C70" s="123">
        <v>223</v>
      </c>
      <c r="D70" s="5">
        <f t="shared" si="14"/>
        <v>0</v>
      </c>
      <c r="E70" s="2">
        <f t="shared" ref="E70:F70" si="15">E72+E73+E74+E75+E76</f>
        <v>0</v>
      </c>
      <c r="F70" s="2">
        <f t="shared" si="15"/>
        <v>0</v>
      </c>
    </row>
    <row r="71" spans="1:6" ht="18.75" x14ac:dyDescent="0.25">
      <c r="A71" s="121" t="s">
        <v>6</v>
      </c>
      <c r="B71" s="123"/>
      <c r="C71" s="123"/>
      <c r="D71" s="5"/>
      <c r="E71" s="2"/>
      <c r="F71" s="2"/>
    </row>
    <row r="72" spans="1:6" ht="56.25" x14ac:dyDescent="0.25">
      <c r="A72" s="121" t="s">
        <v>18</v>
      </c>
      <c r="B72" s="123">
        <v>247</v>
      </c>
      <c r="C72" s="123">
        <v>223</v>
      </c>
      <c r="D72" s="5">
        <f t="shared" ref="D72:D78" si="16">E72+F72</f>
        <v>0</v>
      </c>
      <c r="E72" s="2">
        <f>'платные на 2022 год '!E188</f>
        <v>0</v>
      </c>
      <c r="F72" s="2"/>
    </row>
    <row r="73" spans="1:6" ht="37.5" x14ac:dyDescent="0.25">
      <c r="A73" s="121" t="s">
        <v>19</v>
      </c>
      <c r="B73" s="123">
        <v>247</v>
      </c>
      <c r="C73" s="123">
        <v>223</v>
      </c>
      <c r="D73" s="5">
        <f t="shared" si="16"/>
        <v>0</v>
      </c>
      <c r="E73" s="2">
        <f>'платные на 2022 год '!E189</f>
        <v>0</v>
      </c>
      <c r="F73" s="2"/>
    </row>
    <row r="74" spans="1:6" ht="75" x14ac:dyDescent="0.25">
      <c r="A74" s="121" t="s">
        <v>20</v>
      </c>
      <c r="B74" s="123">
        <v>247</v>
      </c>
      <c r="C74" s="123">
        <v>223</v>
      </c>
      <c r="D74" s="5">
        <f t="shared" si="16"/>
        <v>0</v>
      </c>
      <c r="E74" s="2">
        <f>'платные на 2022 год '!E190</f>
        <v>0</v>
      </c>
      <c r="F74" s="2"/>
    </row>
    <row r="75" spans="1:6" ht="75" x14ac:dyDescent="0.25">
      <c r="A75" s="121" t="s">
        <v>21</v>
      </c>
      <c r="B75" s="123">
        <v>244</v>
      </c>
      <c r="C75" s="123">
        <v>223</v>
      </c>
      <c r="D75" s="5">
        <f t="shared" si="16"/>
        <v>0</v>
      </c>
      <c r="E75" s="2">
        <f>'платные на 2022 год '!E191</f>
        <v>0</v>
      </c>
      <c r="F75" s="2"/>
    </row>
    <row r="76" spans="1:6" ht="56.25" x14ac:dyDescent="0.25">
      <c r="A76" s="121" t="s">
        <v>22</v>
      </c>
      <c r="B76" s="123">
        <v>244</v>
      </c>
      <c r="C76" s="123">
        <v>223</v>
      </c>
      <c r="D76" s="5">
        <f t="shared" si="16"/>
        <v>0</v>
      </c>
      <c r="E76" s="2">
        <f>'платные на 2022 год '!E192</f>
        <v>0</v>
      </c>
      <c r="F76" s="2"/>
    </row>
    <row r="77" spans="1:6" ht="56.25" x14ac:dyDescent="0.25">
      <c r="A77" s="195" t="s">
        <v>442</v>
      </c>
      <c r="B77" s="196">
        <v>244</v>
      </c>
      <c r="C77" s="196">
        <v>223</v>
      </c>
      <c r="D77" s="5">
        <f t="shared" ref="D77" si="17">E77+F77</f>
        <v>0</v>
      </c>
      <c r="E77" s="2">
        <f>'платные на 2022 год '!E193</f>
        <v>0</v>
      </c>
      <c r="F77" s="2"/>
    </row>
    <row r="78" spans="1:6" ht="168.75" x14ac:dyDescent="0.25">
      <c r="A78" s="121" t="s">
        <v>23</v>
      </c>
      <c r="B78" s="123">
        <v>244</v>
      </c>
      <c r="C78" s="123">
        <v>224</v>
      </c>
      <c r="D78" s="5">
        <f t="shared" si="16"/>
        <v>0</v>
      </c>
      <c r="E78" s="2">
        <f>'платные на 2022 год '!E194</f>
        <v>0</v>
      </c>
      <c r="F78" s="2"/>
    </row>
    <row r="79" spans="1:6" ht="56.25" x14ac:dyDescent="0.25">
      <c r="A79" s="121" t="s">
        <v>24</v>
      </c>
      <c r="B79" s="123" t="s">
        <v>5</v>
      </c>
      <c r="C79" s="123">
        <v>225</v>
      </c>
      <c r="D79" s="2">
        <f t="shared" ref="D79" si="18">D80+D81</f>
        <v>10560</v>
      </c>
      <c r="E79" s="2">
        <f>E80+E81</f>
        <v>10560</v>
      </c>
      <c r="F79" s="2">
        <f t="shared" ref="F79" si="19">F80+F81</f>
        <v>0</v>
      </c>
    </row>
    <row r="80" spans="1:6" ht="18.75" x14ac:dyDescent="0.25">
      <c r="A80" s="221" t="s">
        <v>6</v>
      </c>
      <c r="B80" s="123">
        <v>243</v>
      </c>
      <c r="C80" s="123">
        <v>225</v>
      </c>
      <c r="D80" s="5">
        <f t="shared" ref="D80:D91" si="20">E80+F80</f>
        <v>0</v>
      </c>
      <c r="E80" s="2">
        <f>'платные на 2022 год '!E196</f>
        <v>0</v>
      </c>
      <c r="F80" s="2"/>
    </row>
    <row r="81" spans="1:6" ht="18.75" x14ac:dyDescent="0.25">
      <c r="A81" s="221"/>
      <c r="B81" s="123">
        <v>244</v>
      </c>
      <c r="C81" s="123">
        <v>225</v>
      </c>
      <c r="D81" s="5">
        <f t="shared" si="20"/>
        <v>10560</v>
      </c>
      <c r="E81" s="2">
        <f>'платные на 2022 год '!E197</f>
        <v>10560</v>
      </c>
      <c r="F81" s="2"/>
    </row>
    <row r="82" spans="1:6" ht="37.5" x14ac:dyDescent="0.25">
      <c r="A82" s="121" t="s">
        <v>58</v>
      </c>
      <c r="B82" s="123" t="s">
        <v>5</v>
      </c>
      <c r="C82" s="123">
        <v>226</v>
      </c>
      <c r="D82" s="5">
        <f t="shared" si="20"/>
        <v>16190</v>
      </c>
      <c r="E82" s="2">
        <f>E83+E84</f>
        <v>16190</v>
      </c>
      <c r="F82" s="2">
        <f>F83+F84</f>
        <v>0</v>
      </c>
    </row>
    <row r="83" spans="1:6" ht="18.75" x14ac:dyDescent="0.25">
      <c r="A83" s="221" t="s">
        <v>6</v>
      </c>
      <c r="B83" s="123">
        <v>243</v>
      </c>
      <c r="C83" s="123">
        <v>226</v>
      </c>
      <c r="D83" s="5">
        <f t="shared" si="20"/>
        <v>0</v>
      </c>
      <c r="E83" s="2">
        <f>'платные на 2022 год '!E199</f>
        <v>0</v>
      </c>
      <c r="F83" s="2"/>
    </row>
    <row r="84" spans="1:6" ht="18.75" x14ac:dyDescent="0.25">
      <c r="A84" s="221"/>
      <c r="B84" s="123">
        <v>244</v>
      </c>
      <c r="C84" s="123">
        <v>226</v>
      </c>
      <c r="D84" s="5">
        <f t="shared" si="20"/>
        <v>16190</v>
      </c>
      <c r="E84" s="2">
        <f>'платные на 2022 год '!E200</f>
        <v>16190</v>
      </c>
      <c r="F84" s="2"/>
    </row>
    <row r="85" spans="1:6" ht="18.75" x14ac:dyDescent="0.25">
      <c r="A85" s="121" t="s">
        <v>25</v>
      </c>
      <c r="B85" s="123">
        <v>244</v>
      </c>
      <c r="C85" s="123">
        <v>227</v>
      </c>
      <c r="D85" s="5">
        <f t="shared" si="20"/>
        <v>0</v>
      </c>
      <c r="E85" s="2">
        <f>'платные на 2022 год '!E201</f>
        <v>0</v>
      </c>
      <c r="F85" s="2"/>
    </row>
    <row r="86" spans="1:6" ht="56.25" x14ac:dyDescent="0.25">
      <c r="A86" s="170" t="s">
        <v>345</v>
      </c>
      <c r="B86" s="171">
        <v>244</v>
      </c>
      <c r="C86" s="171">
        <v>228</v>
      </c>
      <c r="D86" s="5">
        <f t="shared" ref="D86" si="21">E86+F86</f>
        <v>0</v>
      </c>
      <c r="E86" s="2">
        <f>'платные на 2022 год '!E202</f>
        <v>0</v>
      </c>
      <c r="F86" s="2"/>
    </row>
    <row r="87" spans="1:6" ht="18.75" x14ac:dyDescent="0.25">
      <c r="A87" s="121" t="s">
        <v>30</v>
      </c>
      <c r="B87" s="123" t="s">
        <v>5</v>
      </c>
      <c r="C87" s="123">
        <v>290</v>
      </c>
      <c r="D87" s="5">
        <f t="shared" si="20"/>
        <v>0</v>
      </c>
      <c r="E87" s="2">
        <f>E89+E90</f>
        <v>0</v>
      </c>
      <c r="F87" s="2">
        <f>F89+F90</f>
        <v>0</v>
      </c>
    </row>
    <row r="88" spans="1:6" ht="18.75" x14ac:dyDescent="0.25">
      <c r="A88" s="121" t="s">
        <v>9</v>
      </c>
      <c r="B88" s="123"/>
      <c r="C88" s="123"/>
      <c r="D88" s="5">
        <f t="shared" si="20"/>
        <v>0</v>
      </c>
      <c r="E88" s="2"/>
      <c r="F88" s="2"/>
    </row>
    <row r="89" spans="1:6" ht="56.25" x14ac:dyDescent="0.25">
      <c r="A89" s="121" t="s">
        <v>34</v>
      </c>
      <c r="B89" s="123">
        <v>244</v>
      </c>
      <c r="C89" s="123">
        <v>296</v>
      </c>
      <c r="D89" s="5">
        <f t="shared" si="20"/>
        <v>0</v>
      </c>
      <c r="E89" s="2">
        <f>'платные на 2022 год '!E205</f>
        <v>0</v>
      </c>
      <c r="F89" s="2"/>
    </row>
    <row r="90" spans="1:6" ht="56.25" x14ac:dyDescent="0.25">
      <c r="A90" s="121" t="s">
        <v>35</v>
      </c>
      <c r="B90" s="123">
        <v>244</v>
      </c>
      <c r="C90" s="123">
        <v>297</v>
      </c>
      <c r="D90" s="5">
        <f t="shared" si="20"/>
        <v>0</v>
      </c>
      <c r="E90" s="2">
        <f>'платные на 2022 год '!E206</f>
        <v>0</v>
      </c>
      <c r="F90" s="2"/>
    </row>
    <row r="91" spans="1:6" ht="56.25" x14ac:dyDescent="0.25">
      <c r="A91" s="121" t="s">
        <v>59</v>
      </c>
      <c r="B91" s="123" t="s">
        <v>5</v>
      </c>
      <c r="C91" s="123">
        <v>300</v>
      </c>
      <c r="D91" s="5">
        <f t="shared" si="20"/>
        <v>2785236.2199999997</v>
      </c>
      <c r="E91" s="2">
        <f>E93+E95+E94</f>
        <v>2785236.2199999997</v>
      </c>
      <c r="F91" s="2">
        <f>F93+F95+F94</f>
        <v>0</v>
      </c>
    </row>
    <row r="92" spans="1:6" ht="18.75" x14ac:dyDescent="0.25">
      <c r="A92" s="121" t="s">
        <v>9</v>
      </c>
      <c r="B92" s="123"/>
      <c r="C92" s="123"/>
      <c r="D92" s="5"/>
      <c r="E92" s="2"/>
      <c r="F92" s="2"/>
    </row>
    <row r="93" spans="1:6" ht="56.25" x14ac:dyDescent="0.25">
      <c r="A93" s="121" t="s">
        <v>36</v>
      </c>
      <c r="B93" s="123">
        <v>244</v>
      </c>
      <c r="C93" s="123">
        <v>310</v>
      </c>
      <c r="D93" s="5">
        <f t="shared" ref="D93:D95" si="22">E93+F93</f>
        <v>2288145.94</v>
      </c>
      <c r="E93" s="2">
        <f>'платные на 2022 год '!E209</f>
        <v>2288145.94</v>
      </c>
      <c r="F93" s="2"/>
    </row>
    <row r="94" spans="1:6" ht="75" x14ac:dyDescent="0.25">
      <c r="A94" s="121" t="s">
        <v>68</v>
      </c>
      <c r="B94" s="123">
        <v>244</v>
      </c>
      <c r="C94" s="123">
        <v>320</v>
      </c>
      <c r="D94" s="5">
        <f t="shared" si="22"/>
        <v>0</v>
      </c>
      <c r="E94" s="2">
        <f>'платные на 2022 год '!E210</f>
        <v>0</v>
      </c>
      <c r="F94" s="2"/>
    </row>
    <row r="95" spans="1:6" ht="75" x14ac:dyDescent="0.25">
      <c r="A95" s="121" t="s">
        <v>60</v>
      </c>
      <c r="B95" s="123" t="s">
        <v>5</v>
      </c>
      <c r="C95" s="123">
        <v>340</v>
      </c>
      <c r="D95" s="5">
        <f t="shared" si="22"/>
        <v>497090.28</v>
      </c>
      <c r="E95" s="2">
        <f>E97+E98+E99+E100+E101+E102+E103+E104</f>
        <v>497090.28</v>
      </c>
      <c r="F95" s="2">
        <f>F97+F98+F99+F100+F101+F102+F104</f>
        <v>0</v>
      </c>
    </row>
    <row r="96" spans="1:6" ht="18.75" x14ac:dyDescent="0.25">
      <c r="A96" s="121" t="s">
        <v>6</v>
      </c>
      <c r="B96" s="123"/>
      <c r="C96" s="123"/>
      <c r="D96" s="5"/>
      <c r="E96" s="2"/>
      <c r="F96" s="2"/>
    </row>
    <row r="97" spans="1:6" ht="131.25" x14ac:dyDescent="0.25">
      <c r="A97" s="121" t="s">
        <v>37</v>
      </c>
      <c r="B97" s="123">
        <v>244</v>
      </c>
      <c r="C97" s="123">
        <v>341</v>
      </c>
      <c r="D97" s="5">
        <f t="shared" ref="D97:D104" si="23">E97+F97</f>
        <v>0</v>
      </c>
      <c r="E97" s="2">
        <f>'платные на 2022 год '!E213</f>
        <v>0</v>
      </c>
      <c r="F97" s="2"/>
    </row>
    <row r="98" spans="1:6" ht="56.25" x14ac:dyDescent="0.25">
      <c r="A98" s="121" t="s">
        <v>38</v>
      </c>
      <c r="B98" s="123">
        <v>244</v>
      </c>
      <c r="C98" s="123">
        <v>342</v>
      </c>
      <c r="D98" s="5">
        <f t="shared" si="23"/>
        <v>0</v>
      </c>
      <c r="E98" s="2">
        <f>'платные на 2022 год '!E214</f>
        <v>0</v>
      </c>
      <c r="F98" s="2"/>
    </row>
    <row r="99" spans="1:6" ht="75" x14ac:dyDescent="0.25">
      <c r="A99" s="121" t="s">
        <v>39</v>
      </c>
      <c r="B99" s="123">
        <v>244</v>
      </c>
      <c r="C99" s="123">
        <v>343</v>
      </c>
      <c r="D99" s="5">
        <f t="shared" si="23"/>
        <v>0</v>
      </c>
      <c r="E99" s="2">
        <f>'платные на 2022 год '!E215</f>
        <v>0</v>
      </c>
      <c r="F99" s="2"/>
    </row>
    <row r="100" spans="1:6" ht="75" x14ac:dyDescent="0.25">
      <c r="A100" s="121" t="s">
        <v>40</v>
      </c>
      <c r="B100" s="123">
        <v>244</v>
      </c>
      <c r="C100" s="123">
        <v>344</v>
      </c>
      <c r="D100" s="5">
        <f t="shared" si="23"/>
        <v>0</v>
      </c>
      <c r="E100" s="2">
        <f>'платные на 2022 год '!E216</f>
        <v>0</v>
      </c>
      <c r="F100" s="2"/>
    </row>
    <row r="101" spans="1:6" ht="56.25" x14ac:dyDescent="0.25">
      <c r="A101" s="121" t="s">
        <v>41</v>
      </c>
      <c r="B101" s="123">
        <v>244</v>
      </c>
      <c r="C101" s="123">
        <v>345</v>
      </c>
      <c r="D101" s="5">
        <f t="shared" si="23"/>
        <v>0</v>
      </c>
      <c r="E101" s="2">
        <f>'платные на 2022 год '!E217</f>
        <v>0</v>
      </c>
      <c r="F101" s="2"/>
    </row>
    <row r="102" spans="1:6" ht="75" x14ac:dyDescent="0.25">
      <c r="A102" s="121" t="s">
        <v>42</v>
      </c>
      <c r="B102" s="123">
        <v>244</v>
      </c>
      <c r="C102" s="123">
        <v>346</v>
      </c>
      <c r="D102" s="5">
        <f t="shared" si="23"/>
        <v>487478.28</v>
      </c>
      <c r="E102" s="2">
        <f>'платные на 2022 год '!E218</f>
        <v>487478.28</v>
      </c>
      <c r="F102" s="2"/>
    </row>
    <row r="103" spans="1:6" ht="112.5" x14ac:dyDescent="0.25">
      <c r="A103" s="170" t="s">
        <v>346</v>
      </c>
      <c r="B103" s="171">
        <v>244</v>
      </c>
      <c r="C103" s="171">
        <v>347</v>
      </c>
      <c r="D103" s="5">
        <f t="shared" ref="D103" si="24">E103+F103</f>
        <v>0</v>
      </c>
      <c r="E103" s="2">
        <f>'платные на 2022 год '!E219</f>
        <v>0</v>
      </c>
      <c r="F103" s="2"/>
    </row>
    <row r="104" spans="1:6" ht="112.5" x14ac:dyDescent="0.25">
      <c r="A104" s="121" t="s">
        <v>43</v>
      </c>
      <c r="B104" s="123">
        <v>244</v>
      </c>
      <c r="C104" s="123">
        <v>349</v>
      </c>
      <c r="D104" s="5">
        <f t="shared" si="23"/>
        <v>9612</v>
      </c>
      <c r="E104" s="2">
        <f>'платные на 2022 год '!E220</f>
        <v>9612</v>
      </c>
      <c r="F104" s="2"/>
    </row>
    <row r="105" spans="1:6" ht="18.75" x14ac:dyDescent="0.25">
      <c r="A105" s="15"/>
      <c r="B105" s="19"/>
      <c r="C105" s="19"/>
      <c r="D105" s="36"/>
      <c r="E105" s="36"/>
      <c r="F105" s="36"/>
    </row>
    <row r="106" spans="1:6" x14ac:dyDescent="0.25">
      <c r="A106" s="11"/>
    </row>
    <row r="107" spans="1:6" ht="37.5" x14ac:dyDescent="0.3">
      <c r="A107" s="29" t="s">
        <v>52</v>
      </c>
      <c r="B107" s="224"/>
      <c r="C107" s="224"/>
      <c r="D107" s="10"/>
      <c r="E107" s="224" t="s">
        <v>499</v>
      </c>
      <c r="F107" s="224"/>
    </row>
    <row r="108" spans="1:6" ht="18.75" x14ac:dyDescent="0.3">
      <c r="A108" s="29"/>
      <c r="B108" s="223" t="s">
        <v>53</v>
      </c>
      <c r="C108" s="223"/>
      <c r="D108" s="10"/>
      <c r="E108" s="223" t="s">
        <v>54</v>
      </c>
      <c r="F108" s="223"/>
    </row>
    <row r="109" spans="1:6" ht="18.75" x14ac:dyDescent="0.3">
      <c r="A109" s="29"/>
      <c r="B109" s="10"/>
      <c r="C109" s="10"/>
      <c r="D109" s="10"/>
      <c r="E109" s="10"/>
      <c r="F109" s="10"/>
    </row>
    <row r="110" spans="1:6" ht="37.5" x14ac:dyDescent="0.3">
      <c r="A110" s="29" t="s">
        <v>55</v>
      </c>
      <c r="B110" s="224"/>
      <c r="C110" s="224"/>
      <c r="D110" s="10"/>
      <c r="E110" s="224" t="s">
        <v>500</v>
      </c>
      <c r="F110" s="224"/>
    </row>
    <row r="111" spans="1:6" ht="18.75" x14ac:dyDescent="0.3">
      <c r="A111" s="29"/>
      <c r="B111" s="223" t="s">
        <v>53</v>
      </c>
      <c r="C111" s="223"/>
      <c r="D111" s="10"/>
      <c r="E111" s="223" t="s">
        <v>54</v>
      </c>
      <c r="F111" s="223"/>
    </row>
    <row r="112" spans="1:6" ht="18.75" x14ac:dyDescent="0.3">
      <c r="A112" s="29"/>
      <c r="B112" s="122"/>
      <c r="C112" s="122"/>
      <c r="D112" s="10"/>
      <c r="E112" s="122"/>
      <c r="F112" s="122"/>
    </row>
    <row r="113" spans="1:6" ht="18.75" x14ac:dyDescent="0.3">
      <c r="A113" s="29" t="s">
        <v>56</v>
      </c>
      <c r="B113" s="224"/>
      <c r="C113" s="224"/>
      <c r="D113" s="10"/>
      <c r="E113" s="224" t="s">
        <v>500</v>
      </c>
      <c r="F113" s="224"/>
    </row>
    <row r="114" spans="1:6" ht="18.75" x14ac:dyDescent="0.3">
      <c r="A114" s="29"/>
      <c r="B114" s="223" t="s">
        <v>53</v>
      </c>
      <c r="C114" s="223"/>
      <c r="D114" s="10"/>
      <c r="E114" s="223" t="s">
        <v>54</v>
      </c>
      <c r="F114" s="223"/>
    </row>
    <row r="115" spans="1:6" ht="18.75" x14ac:dyDescent="0.3">
      <c r="A115" s="29" t="s">
        <v>57</v>
      </c>
      <c r="B115" s="10"/>
      <c r="C115" s="10"/>
      <c r="D115" s="10"/>
      <c r="E115" s="10"/>
      <c r="F115" s="10"/>
    </row>
    <row r="116" spans="1:6" ht="18.75" x14ac:dyDescent="0.3">
      <c r="A116" s="222" t="s">
        <v>44</v>
      </c>
      <c r="B116" s="222"/>
      <c r="C116" s="10"/>
      <c r="D116" s="10"/>
      <c r="E116" s="10"/>
      <c r="F116" s="10"/>
    </row>
  </sheetData>
  <mergeCells count="27">
    <mergeCell ref="A83:A84"/>
    <mergeCell ref="A1:F1"/>
    <mergeCell ref="A2:F2"/>
    <mergeCell ref="A5:A7"/>
    <mergeCell ref="B5:B7"/>
    <mergeCell ref="C5:C7"/>
    <mergeCell ref="D5:D7"/>
    <mergeCell ref="E5:F5"/>
    <mergeCell ref="E6:F6"/>
    <mergeCell ref="A12:F12"/>
    <mergeCell ref="A35:A36"/>
    <mergeCell ref="A38:A39"/>
    <mergeCell ref="A60:F60"/>
    <mergeCell ref="A80:A81"/>
    <mergeCell ref="B107:C107"/>
    <mergeCell ref="E107:F107"/>
    <mergeCell ref="B108:C108"/>
    <mergeCell ref="E108:F108"/>
    <mergeCell ref="B110:C110"/>
    <mergeCell ref="E110:F110"/>
    <mergeCell ref="A116:B116"/>
    <mergeCell ref="B111:C111"/>
    <mergeCell ref="E111:F111"/>
    <mergeCell ref="B113:C113"/>
    <mergeCell ref="E113:F113"/>
    <mergeCell ref="B114:C114"/>
    <mergeCell ref="E114:F114"/>
  </mergeCells>
  <pageMargins left="1.3779527559055118" right="0.39370078740157483" top="0.98425196850393704" bottom="0.78740157480314965" header="0.31496062992125984" footer="0.31496062992125984"/>
  <pageSetup paperSize="9" scale="66" firstPageNumber="12" orientation="portrait" useFirstPageNumber="1" r:id="rId1"/>
  <rowBreaks count="3" manualBreakCount="3">
    <brk id="65" max="5" man="1"/>
    <brk id="90" max="5" man="1"/>
    <brk id="10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51"/>
  <sheetViews>
    <sheetView tabSelected="1" view="pageBreakPreview" topLeftCell="A37" zoomScaleNormal="100" zoomScaleSheetLayoutView="100" workbookViewId="0">
      <selection activeCell="D144" sqref="D144"/>
    </sheetView>
  </sheetViews>
  <sheetFormatPr defaultColWidth="8.85546875" defaultRowHeight="15" x14ac:dyDescent="0.25"/>
  <cols>
    <col min="1" max="1" width="23.28515625" style="7" customWidth="1"/>
    <col min="2" max="2" width="15.28515625" style="7" customWidth="1"/>
    <col min="3" max="7" width="16.42578125" style="7" customWidth="1"/>
    <col min="8" max="8" width="18.7109375" style="7" bestFit="1" customWidth="1"/>
    <col min="9" max="10" width="13.7109375" style="7" bestFit="1" customWidth="1"/>
    <col min="11" max="11" width="14.28515625" style="7" bestFit="1" customWidth="1"/>
    <col min="12" max="16" width="8.85546875" style="7"/>
    <col min="17" max="17" width="6.28515625" style="7" customWidth="1"/>
    <col min="18" max="16384" width="8.85546875" style="7"/>
  </cols>
  <sheetData>
    <row r="1" spans="1:7" ht="40.15" customHeight="1" x14ac:dyDescent="0.25">
      <c r="A1" s="289" t="s">
        <v>469</v>
      </c>
      <c r="B1" s="289"/>
      <c r="C1" s="289"/>
      <c r="D1" s="289"/>
      <c r="E1" s="289"/>
      <c r="F1" s="289"/>
      <c r="G1" s="289"/>
    </row>
    <row r="2" spans="1:7" ht="18.75" x14ac:dyDescent="0.25">
      <c r="A2" s="67"/>
      <c r="B2" s="67"/>
      <c r="C2" s="67"/>
      <c r="D2" s="67"/>
      <c r="E2" s="67"/>
      <c r="F2" s="67"/>
      <c r="G2" s="67"/>
    </row>
    <row r="3" spans="1:7" ht="35.450000000000003" customHeight="1" x14ac:dyDescent="0.25">
      <c r="A3" s="289" t="s">
        <v>470</v>
      </c>
      <c r="B3" s="289"/>
      <c r="C3" s="289"/>
      <c r="D3" s="289"/>
      <c r="E3" s="289"/>
      <c r="F3" s="289"/>
      <c r="G3" s="289"/>
    </row>
    <row r="4" spans="1:7" ht="43.9" customHeight="1" x14ac:dyDescent="0.25">
      <c r="A4" s="289" t="s">
        <v>174</v>
      </c>
      <c r="B4" s="289"/>
      <c r="C4" s="289"/>
      <c r="D4" s="289"/>
      <c r="E4" s="289"/>
      <c r="F4" s="289"/>
      <c r="G4" s="289"/>
    </row>
    <row r="5" spans="1:7" ht="18.75" x14ac:dyDescent="0.25">
      <c r="A5" s="67"/>
      <c r="B5" s="67"/>
      <c r="C5" s="67"/>
      <c r="D5" s="67"/>
      <c r="E5" s="67"/>
      <c r="F5" s="67"/>
      <c r="G5" s="67"/>
    </row>
    <row r="6" spans="1:7" ht="18.75" x14ac:dyDescent="0.25">
      <c r="A6" s="64"/>
    </row>
    <row r="7" spans="1:7" ht="18.75" x14ac:dyDescent="0.3">
      <c r="A7" s="9" t="s">
        <v>255</v>
      </c>
      <c r="B7" s="10">
        <v>130</v>
      </c>
    </row>
    <row r="8" spans="1:7" x14ac:dyDescent="0.25">
      <c r="A8" s="11"/>
    </row>
    <row r="9" spans="1:7" ht="41.45" customHeight="1" x14ac:dyDescent="0.25">
      <c r="A9" s="68" t="s">
        <v>86</v>
      </c>
      <c r="B9" s="275" t="s">
        <v>172</v>
      </c>
      <c r="C9" s="275"/>
      <c r="D9" s="275" t="s">
        <v>173</v>
      </c>
      <c r="E9" s="275"/>
      <c r="F9" s="275" t="s">
        <v>94</v>
      </c>
      <c r="G9" s="275"/>
    </row>
    <row r="10" spans="1:7" ht="18.75" x14ac:dyDescent="0.25">
      <c r="A10" s="68">
        <v>1</v>
      </c>
      <c r="B10" s="275">
        <v>2</v>
      </c>
      <c r="C10" s="275"/>
      <c r="D10" s="275">
        <v>3</v>
      </c>
      <c r="E10" s="275"/>
      <c r="F10" s="275">
        <v>4</v>
      </c>
      <c r="G10" s="275"/>
    </row>
    <row r="11" spans="1:7" ht="75" x14ac:dyDescent="0.25">
      <c r="A11" s="13" t="s">
        <v>164</v>
      </c>
      <c r="B11" s="275"/>
      <c r="C11" s="275"/>
      <c r="D11" s="275"/>
      <c r="E11" s="275"/>
      <c r="F11" s="281">
        <f>'платные на 2022 год '!D13</f>
        <v>1657472</v>
      </c>
      <c r="G11" s="281"/>
    </row>
    <row r="12" spans="1:7" ht="18.75" x14ac:dyDescent="0.25">
      <c r="A12" s="64"/>
    </row>
    <row r="13" spans="1:7" ht="18.75" x14ac:dyDescent="0.25">
      <c r="A13" s="289" t="s">
        <v>176</v>
      </c>
      <c r="B13" s="289"/>
      <c r="C13" s="289"/>
      <c r="D13" s="289"/>
      <c r="E13" s="289"/>
      <c r="F13" s="289"/>
      <c r="G13" s="289"/>
    </row>
    <row r="14" spans="1:7" ht="18.75" x14ac:dyDescent="0.25">
      <c r="A14" s="176"/>
    </row>
    <row r="15" spans="1:7" ht="18.75" x14ac:dyDescent="0.3">
      <c r="A15" s="9" t="s">
        <v>255</v>
      </c>
      <c r="B15" s="10">
        <v>140</v>
      </c>
    </row>
    <row r="16" spans="1:7" x14ac:dyDescent="0.25">
      <c r="A16" s="11"/>
    </row>
    <row r="17" spans="1:7" ht="37.9" customHeight="1" x14ac:dyDescent="0.25">
      <c r="A17" s="257" t="s">
        <v>86</v>
      </c>
      <c r="B17" s="286"/>
      <c r="C17" s="258"/>
      <c r="D17" s="257" t="s">
        <v>165</v>
      </c>
      <c r="E17" s="286"/>
      <c r="F17" s="286"/>
      <c r="G17" s="258"/>
    </row>
    <row r="18" spans="1:7" ht="18.75" x14ac:dyDescent="0.25">
      <c r="A18" s="257">
        <v>1</v>
      </c>
      <c r="B18" s="286"/>
      <c r="C18" s="258"/>
      <c r="D18" s="257">
        <v>3</v>
      </c>
      <c r="E18" s="286"/>
      <c r="F18" s="286"/>
      <c r="G18" s="258"/>
    </row>
    <row r="19" spans="1:7" ht="36.75" customHeight="1" x14ac:dyDescent="0.25">
      <c r="A19" s="252" t="s">
        <v>367</v>
      </c>
      <c r="B19" s="253"/>
      <c r="C19" s="254"/>
      <c r="D19" s="255">
        <f>'платные на 2022 год '!D14</f>
        <v>4449.21</v>
      </c>
      <c r="E19" s="310"/>
      <c r="F19" s="310"/>
      <c r="G19" s="256"/>
    </row>
    <row r="20" spans="1:7" ht="18.75" x14ac:dyDescent="0.25">
      <c r="A20" s="64"/>
    </row>
    <row r="21" spans="1:7" ht="18.75" x14ac:dyDescent="0.25">
      <c r="A21" s="15"/>
      <c r="B21" s="19"/>
      <c r="C21" s="19"/>
      <c r="D21" s="19"/>
      <c r="E21" s="19"/>
      <c r="F21" s="19"/>
      <c r="G21" s="19"/>
    </row>
    <row r="22" spans="1:7" ht="48.6" customHeight="1" x14ac:dyDescent="0.25">
      <c r="A22" s="289" t="s">
        <v>471</v>
      </c>
      <c r="B22" s="289"/>
      <c r="C22" s="289"/>
      <c r="D22" s="289"/>
      <c r="E22" s="289"/>
      <c r="F22" s="289"/>
      <c r="G22" s="289"/>
    </row>
    <row r="23" spans="1:7" ht="18.75" x14ac:dyDescent="0.25">
      <c r="A23" s="8"/>
    </row>
    <row r="24" spans="1:7" ht="18.75" x14ac:dyDescent="0.25">
      <c r="A24" s="274" t="s">
        <v>189</v>
      </c>
      <c r="B24" s="274"/>
      <c r="C24" s="274"/>
      <c r="D24" s="274"/>
      <c r="E24" s="274"/>
      <c r="F24" s="274"/>
      <c r="G24" s="274"/>
    </row>
    <row r="25" spans="1:7" ht="18.75" x14ac:dyDescent="0.25">
      <c r="A25" s="9"/>
    </row>
    <row r="26" spans="1:7" ht="18.75" x14ac:dyDescent="0.3">
      <c r="A26" s="9" t="s">
        <v>145</v>
      </c>
      <c r="B26" s="10">
        <v>111</v>
      </c>
    </row>
    <row r="27" spans="1:7" x14ac:dyDescent="0.25">
      <c r="A27" s="11"/>
    </row>
    <row r="28" spans="1:7" ht="54" customHeight="1" x14ac:dyDescent="0.25">
      <c r="A28" s="275" t="s">
        <v>76</v>
      </c>
      <c r="B28" s="275" t="s">
        <v>77</v>
      </c>
      <c r="C28" s="275" t="s">
        <v>78</v>
      </c>
      <c r="D28" s="275"/>
      <c r="E28" s="275"/>
      <c r="F28" s="275"/>
      <c r="G28" s="275" t="s">
        <v>79</v>
      </c>
    </row>
    <row r="29" spans="1:7" ht="18.75" x14ac:dyDescent="0.25">
      <c r="A29" s="275"/>
      <c r="B29" s="275"/>
      <c r="C29" s="275" t="s">
        <v>80</v>
      </c>
      <c r="D29" s="275" t="s">
        <v>6</v>
      </c>
      <c r="E29" s="275"/>
      <c r="F29" s="275"/>
      <c r="G29" s="275"/>
    </row>
    <row r="30" spans="1:7" ht="75" x14ac:dyDescent="0.25">
      <c r="A30" s="275"/>
      <c r="B30" s="275"/>
      <c r="C30" s="275"/>
      <c r="D30" s="12" t="s">
        <v>81</v>
      </c>
      <c r="E30" s="12" t="s">
        <v>82</v>
      </c>
      <c r="F30" s="12" t="s">
        <v>83</v>
      </c>
      <c r="G30" s="275"/>
    </row>
    <row r="31" spans="1:7" ht="18.75" x14ac:dyDescent="0.25">
      <c r="A31" s="68">
        <v>1</v>
      </c>
      <c r="B31" s="68">
        <v>2</v>
      </c>
      <c r="C31" s="68">
        <v>3</v>
      </c>
      <c r="D31" s="68">
        <v>4</v>
      </c>
      <c r="E31" s="68">
        <v>4</v>
      </c>
      <c r="F31" s="68">
        <v>5</v>
      </c>
      <c r="G31" s="68">
        <v>7</v>
      </c>
    </row>
    <row r="32" spans="1:7" ht="18.75" x14ac:dyDescent="0.25">
      <c r="A32" s="68"/>
      <c r="B32" s="68"/>
      <c r="C32" s="77"/>
      <c r="D32" s="77"/>
      <c r="E32" s="77"/>
      <c r="F32" s="77"/>
      <c r="G32" s="77"/>
    </row>
    <row r="33" spans="1:7" ht="18.75" x14ac:dyDescent="0.25">
      <c r="A33" s="68" t="s">
        <v>146</v>
      </c>
      <c r="B33" s="68"/>
      <c r="C33" s="77"/>
      <c r="D33" s="77"/>
      <c r="E33" s="77"/>
      <c r="F33" s="77"/>
      <c r="G33" s="77">
        <f>'платные на 2022 год '!D31+'платные на 2022 год '!D71</f>
        <v>832130.08</v>
      </c>
    </row>
    <row r="34" spans="1:7" ht="18.75" x14ac:dyDescent="0.25">
      <c r="A34" s="8"/>
    </row>
    <row r="35" spans="1:7" ht="18.75" x14ac:dyDescent="0.25">
      <c r="A35" s="274" t="s">
        <v>180</v>
      </c>
      <c r="B35" s="274"/>
      <c r="C35" s="274"/>
      <c r="D35" s="274"/>
      <c r="E35" s="274"/>
      <c r="F35" s="274"/>
      <c r="G35" s="274"/>
    </row>
    <row r="36" spans="1:7" ht="18.75" x14ac:dyDescent="0.25">
      <c r="A36" s="66"/>
      <c r="B36" s="66"/>
      <c r="C36" s="66"/>
      <c r="D36" s="66"/>
      <c r="E36" s="66"/>
      <c r="F36" s="66"/>
      <c r="G36" s="66"/>
    </row>
    <row r="37" spans="1:7" ht="18.75" x14ac:dyDescent="0.3">
      <c r="A37" s="9" t="s">
        <v>145</v>
      </c>
      <c r="B37" s="10" t="s">
        <v>370</v>
      </c>
    </row>
    <row r="38" spans="1:7" x14ac:dyDescent="0.25">
      <c r="A38" s="11"/>
    </row>
    <row r="39" spans="1:7" ht="129" customHeight="1" x14ac:dyDescent="0.25">
      <c r="A39" s="275" t="s">
        <v>84</v>
      </c>
      <c r="B39" s="275" t="s">
        <v>244</v>
      </c>
      <c r="C39" s="275"/>
      <c r="D39" s="275" t="s">
        <v>185</v>
      </c>
      <c r="E39" s="275"/>
      <c r="F39" s="275" t="s">
        <v>85</v>
      </c>
      <c r="G39" s="275"/>
    </row>
    <row r="40" spans="1:7" ht="15" customHeight="1" x14ac:dyDescent="0.25">
      <c r="A40" s="275"/>
      <c r="B40" s="275"/>
      <c r="C40" s="275"/>
      <c r="D40" s="275"/>
      <c r="E40" s="275"/>
      <c r="F40" s="275"/>
      <c r="G40" s="275"/>
    </row>
    <row r="41" spans="1:7" ht="18.75" x14ac:dyDescent="0.25">
      <c r="A41" s="68">
        <v>1</v>
      </c>
      <c r="B41" s="275">
        <v>2</v>
      </c>
      <c r="C41" s="275"/>
      <c r="D41" s="275">
        <v>3</v>
      </c>
      <c r="E41" s="275"/>
      <c r="F41" s="275">
        <v>4</v>
      </c>
      <c r="G41" s="275"/>
    </row>
    <row r="42" spans="1:7" ht="18.75" x14ac:dyDescent="0.25">
      <c r="A42" s="13"/>
      <c r="B42" s="281">
        <f>'платные на 2022 год '!D71+'платные на 2022 год '!D31+'платные на 2022 год '!D33</f>
        <v>1083433.6299999999</v>
      </c>
      <c r="C42" s="281"/>
      <c r="D42" s="281">
        <f>G33</f>
        <v>832130.08</v>
      </c>
      <c r="E42" s="281"/>
      <c r="F42" s="281">
        <f>B42-D42</f>
        <v>251303.54999999993</v>
      </c>
      <c r="G42" s="281"/>
    </row>
    <row r="43" spans="1:7" ht="18.75" x14ac:dyDescent="0.25">
      <c r="A43" s="8"/>
    </row>
    <row r="44" spans="1:7" ht="36.6" customHeight="1" x14ac:dyDescent="0.25">
      <c r="A44" s="282" t="s">
        <v>205</v>
      </c>
      <c r="B44" s="282"/>
      <c r="C44" s="282"/>
      <c r="D44" s="282"/>
      <c r="E44" s="282"/>
      <c r="F44" s="282"/>
      <c r="G44" s="282"/>
    </row>
    <row r="45" spans="1:7" ht="18.75" x14ac:dyDescent="0.25">
      <c r="A45" s="69"/>
      <c r="B45" s="69"/>
      <c r="C45" s="69"/>
      <c r="D45" s="69"/>
      <c r="E45" s="69"/>
      <c r="F45" s="69"/>
      <c r="G45" s="69"/>
    </row>
    <row r="46" spans="1:7" ht="18.75" x14ac:dyDescent="0.3">
      <c r="A46" s="9" t="s">
        <v>147</v>
      </c>
      <c r="B46" s="10">
        <v>112</v>
      </c>
    </row>
    <row r="47" spans="1:7" x14ac:dyDescent="0.25">
      <c r="A47" s="11"/>
    </row>
    <row r="48" spans="1:7" ht="108.6" customHeight="1" x14ac:dyDescent="0.25">
      <c r="A48" s="68" t="s">
        <v>86</v>
      </c>
      <c r="B48" s="68" t="s">
        <v>87</v>
      </c>
      <c r="C48" s="275" t="s">
        <v>88</v>
      </c>
      <c r="D48" s="275"/>
      <c r="E48" s="68" t="s">
        <v>89</v>
      </c>
      <c r="F48" s="275" t="s">
        <v>90</v>
      </c>
      <c r="G48" s="275"/>
    </row>
    <row r="49" spans="1:7" ht="18.75" x14ac:dyDescent="0.25">
      <c r="A49" s="68">
        <v>1</v>
      </c>
      <c r="B49" s="68">
        <v>2</v>
      </c>
      <c r="C49" s="275">
        <v>3</v>
      </c>
      <c r="D49" s="275"/>
      <c r="E49" s="68">
        <v>4</v>
      </c>
      <c r="F49" s="275">
        <v>5</v>
      </c>
      <c r="G49" s="275"/>
    </row>
    <row r="50" spans="1:7" ht="37.5" x14ac:dyDescent="0.25">
      <c r="A50" s="13" t="s">
        <v>95</v>
      </c>
      <c r="B50" s="171">
        <v>5</v>
      </c>
      <c r="C50" s="275">
        <v>600</v>
      </c>
      <c r="D50" s="275"/>
      <c r="E50" s="171">
        <v>11</v>
      </c>
      <c r="F50" s="281">
        <f>'платные на 2022 год '!D59</f>
        <v>80000</v>
      </c>
      <c r="G50" s="281"/>
    </row>
    <row r="51" spans="1:7" ht="18.75" x14ac:dyDescent="0.25">
      <c r="A51" s="15"/>
      <c r="B51" s="19"/>
      <c r="C51" s="19"/>
      <c r="D51" s="19"/>
      <c r="E51" s="19"/>
      <c r="F51" s="82"/>
      <c r="G51" s="82"/>
    </row>
    <row r="52" spans="1:7" ht="36.75" customHeight="1" x14ac:dyDescent="0.25">
      <c r="A52" s="282" t="s">
        <v>226</v>
      </c>
      <c r="B52" s="282"/>
      <c r="C52" s="282"/>
      <c r="D52" s="282"/>
      <c r="E52" s="282"/>
      <c r="F52" s="282"/>
      <c r="G52" s="282"/>
    </row>
    <row r="53" spans="1:7" ht="18.75" x14ac:dyDescent="0.3">
      <c r="A53" s="9" t="s">
        <v>145</v>
      </c>
      <c r="B53" s="10">
        <v>851</v>
      </c>
    </row>
    <row r="54" spans="1:7" x14ac:dyDescent="0.25">
      <c r="A54" s="11"/>
    </row>
    <row r="55" spans="1:7" ht="18.75" customHeight="1" x14ac:dyDescent="0.25">
      <c r="A55" s="213" t="s">
        <v>86</v>
      </c>
      <c r="B55" s="257" t="s">
        <v>109</v>
      </c>
      <c r="C55" s="258"/>
      <c r="D55" s="257" t="s">
        <v>110</v>
      </c>
      <c r="E55" s="258"/>
      <c r="F55" s="257" t="s">
        <v>111</v>
      </c>
      <c r="G55" s="258"/>
    </row>
    <row r="56" spans="1:7" ht="18.75" customHeight="1" x14ac:dyDescent="0.25">
      <c r="A56" s="213">
        <v>1</v>
      </c>
      <c r="B56" s="257">
        <v>2</v>
      </c>
      <c r="C56" s="258"/>
      <c r="D56" s="287">
        <v>3</v>
      </c>
      <c r="E56" s="288"/>
      <c r="F56" s="287">
        <v>4</v>
      </c>
      <c r="G56" s="288"/>
    </row>
    <row r="57" spans="1:7" ht="18.75" x14ac:dyDescent="0.25">
      <c r="A57" s="13"/>
      <c r="B57" s="255"/>
      <c r="C57" s="256"/>
      <c r="D57" s="255"/>
      <c r="E57" s="256"/>
      <c r="F57" s="277">
        <v>0</v>
      </c>
      <c r="G57" s="278"/>
    </row>
    <row r="58" spans="1:7" ht="18.75" x14ac:dyDescent="0.25">
      <c r="A58" s="13"/>
      <c r="B58" s="255"/>
      <c r="C58" s="256"/>
      <c r="D58" s="255"/>
      <c r="E58" s="256"/>
      <c r="F58" s="279"/>
      <c r="G58" s="280"/>
    </row>
    <row r="59" spans="1:7" ht="18.75" x14ac:dyDescent="0.25">
      <c r="A59" s="15"/>
      <c r="B59" s="16"/>
      <c r="C59" s="19"/>
      <c r="D59" s="20"/>
      <c r="E59" s="21"/>
      <c r="F59" s="21"/>
      <c r="G59" s="21"/>
    </row>
    <row r="60" spans="1:7" ht="18.75" x14ac:dyDescent="0.25">
      <c r="A60" s="9" t="s">
        <v>114</v>
      </c>
    </row>
    <row r="61" spans="1:7" x14ac:dyDescent="0.25">
      <c r="A61" s="11"/>
    </row>
    <row r="62" spans="1:7" ht="18.75" customHeight="1" x14ac:dyDescent="0.25">
      <c r="A62" s="213" t="s">
        <v>86</v>
      </c>
      <c r="B62" s="275" t="s">
        <v>109</v>
      </c>
      <c r="C62" s="275"/>
      <c r="D62" s="275" t="s">
        <v>110</v>
      </c>
      <c r="E62" s="275"/>
      <c r="F62" s="275" t="s">
        <v>115</v>
      </c>
      <c r="G62" s="275"/>
    </row>
    <row r="63" spans="1:7" ht="18.75" x14ac:dyDescent="0.3">
      <c r="A63" s="213">
        <v>1</v>
      </c>
      <c r="B63" s="257">
        <v>2</v>
      </c>
      <c r="C63" s="258"/>
      <c r="D63" s="257">
        <v>3</v>
      </c>
      <c r="E63" s="258"/>
      <c r="F63" s="248">
        <v>4</v>
      </c>
      <c r="G63" s="249"/>
    </row>
    <row r="64" spans="1:7" ht="18.75" x14ac:dyDescent="0.25">
      <c r="A64" s="13" t="s">
        <v>476</v>
      </c>
      <c r="B64" s="257" t="s">
        <v>117</v>
      </c>
      <c r="C64" s="258"/>
      <c r="D64" s="257" t="s">
        <v>117</v>
      </c>
      <c r="E64" s="258"/>
      <c r="F64" s="299">
        <f>'платные на 2022 год '!D79</f>
        <v>3000</v>
      </c>
      <c r="G64" s="301"/>
    </row>
    <row r="65" spans="1:7" ht="18.75" x14ac:dyDescent="0.25">
      <c r="A65" s="9"/>
    </row>
    <row r="66" spans="1:7" ht="18.75" customHeight="1" x14ac:dyDescent="0.25">
      <c r="A66" s="9" t="s">
        <v>119</v>
      </c>
    </row>
    <row r="67" spans="1:7" x14ac:dyDescent="0.25">
      <c r="A67" s="11"/>
    </row>
    <row r="68" spans="1:7" ht="18.75" customHeight="1" x14ac:dyDescent="0.25">
      <c r="A68" s="213" t="s">
        <v>86</v>
      </c>
      <c r="B68" s="257" t="s">
        <v>109</v>
      </c>
      <c r="C68" s="258"/>
      <c r="D68" s="257" t="s">
        <v>110</v>
      </c>
      <c r="E68" s="258"/>
      <c r="F68" s="257" t="s">
        <v>115</v>
      </c>
      <c r="G68" s="258"/>
    </row>
    <row r="69" spans="1:7" ht="18.75" customHeight="1" x14ac:dyDescent="0.3">
      <c r="A69" s="213">
        <v>1</v>
      </c>
      <c r="B69" s="257">
        <v>2</v>
      </c>
      <c r="C69" s="258"/>
      <c r="D69" s="257">
        <v>3</v>
      </c>
      <c r="E69" s="258"/>
      <c r="F69" s="248">
        <v>4</v>
      </c>
      <c r="G69" s="249"/>
    </row>
    <row r="70" spans="1:7" ht="75" x14ac:dyDescent="0.25">
      <c r="A70" s="13" t="s">
        <v>155</v>
      </c>
      <c r="B70" s="257" t="s">
        <v>117</v>
      </c>
      <c r="C70" s="258"/>
      <c r="D70" s="257" t="s">
        <v>117</v>
      </c>
      <c r="E70" s="258"/>
      <c r="F70" s="299">
        <v>0</v>
      </c>
      <c r="G70" s="300"/>
    </row>
    <row r="71" spans="1:7" ht="18.75" x14ac:dyDescent="0.25">
      <c r="A71" s="15"/>
      <c r="B71" s="19"/>
      <c r="C71" s="19"/>
      <c r="D71" s="19"/>
      <c r="E71" s="19"/>
      <c r="F71" s="185"/>
      <c r="G71" s="185"/>
    </row>
    <row r="72" spans="1:7" ht="37.5" customHeight="1" x14ac:dyDescent="0.25">
      <c r="A72" s="282" t="s">
        <v>213</v>
      </c>
      <c r="B72" s="282"/>
      <c r="C72" s="282"/>
      <c r="D72" s="282"/>
      <c r="E72" s="282"/>
      <c r="F72" s="282"/>
      <c r="G72" s="282"/>
    </row>
    <row r="73" spans="1:7" ht="18.75" x14ac:dyDescent="0.3">
      <c r="A73" s="9" t="s">
        <v>145</v>
      </c>
      <c r="B73" s="10">
        <v>831</v>
      </c>
    </row>
    <row r="74" spans="1:7" x14ac:dyDescent="0.25">
      <c r="A74" s="11"/>
    </row>
    <row r="75" spans="1:7" ht="18.75" x14ac:dyDescent="0.25">
      <c r="A75" s="217" t="s">
        <v>86</v>
      </c>
      <c r="B75" s="275" t="s">
        <v>109</v>
      </c>
      <c r="C75" s="275"/>
      <c r="D75" s="275" t="s">
        <v>110</v>
      </c>
      <c r="E75" s="275"/>
      <c r="F75" s="275" t="s">
        <v>111</v>
      </c>
      <c r="G75" s="275"/>
    </row>
    <row r="76" spans="1:7" ht="18.75" x14ac:dyDescent="0.25">
      <c r="A76" s="217">
        <v>1</v>
      </c>
      <c r="B76" s="275">
        <v>2</v>
      </c>
      <c r="C76" s="275"/>
      <c r="D76" s="275">
        <v>3</v>
      </c>
      <c r="E76" s="275"/>
      <c r="F76" s="275">
        <v>4</v>
      </c>
      <c r="G76" s="275"/>
    </row>
    <row r="77" spans="1:7" ht="18.75" x14ac:dyDescent="0.25">
      <c r="A77" s="217" t="s">
        <v>249</v>
      </c>
      <c r="B77" s="255" t="s">
        <v>117</v>
      </c>
      <c r="C77" s="256"/>
      <c r="D77" s="257" t="s">
        <v>117</v>
      </c>
      <c r="E77" s="258"/>
      <c r="F77" s="255">
        <f>'платные на 2022 год '!E94</f>
        <v>40500</v>
      </c>
      <c r="G77" s="256"/>
    </row>
    <row r="78" spans="1:7" ht="18.75" x14ac:dyDescent="0.25">
      <c r="A78" s="13"/>
      <c r="B78" s="313"/>
      <c r="C78" s="313"/>
      <c r="D78" s="313"/>
      <c r="E78" s="313"/>
      <c r="F78" s="314"/>
      <c r="G78" s="314"/>
    </row>
    <row r="79" spans="1:7" ht="18.75" x14ac:dyDescent="0.25">
      <c r="A79" s="15"/>
      <c r="B79" s="19"/>
      <c r="C79" s="19"/>
      <c r="D79" s="19"/>
      <c r="E79" s="19"/>
      <c r="F79" s="185"/>
      <c r="G79" s="185"/>
    </row>
    <row r="80" spans="1:7" ht="18.75" x14ac:dyDescent="0.25">
      <c r="A80" s="276" t="s">
        <v>220</v>
      </c>
      <c r="B80" s="276"/>
      <c r="C80" s="276"/>
      <c r="D80" s="276"/>
      <c r="E80" s="276"/>
      <c r="F80" s="276"/>
      <c r="G80" s="276"/>
    </row>
    <row r="81" spans="1:7" ht="18.75" x14ac:dyDescent="0.3">
      <c r="A81" s="9" t="s">
        <v>145</v>
      </c>
      <c r="B81" s="10">
        <v>244</v>
      </c>
    </row>
    <row r="82" spans="1:7" ht="18.75" x14ac:dyDescent="0.25">
      <c r="A82" s="8"/>
    </row>
    <row r="83" spans="1:7" ht="18.75" x14ac:dyDescent="0.25">
      <c r="A83" s="257" t="s">
        <v>86</v>
      </c>
      <c r="B83" s="286"/>
      <c r="C83" s="258"/>
      <c r="D83" s="257" t="s">
        <v>131</v>
      </c>
      <c r="E83" s="258"/>
      <c r="F83" s="257" t="s">
        <v>132</v>
      </c>
      <c r="G83" s="258"/>
    </row>
    <row r="84" spans="1:7" ht="54.6" customHeight="1" x14ac:dyDescent="0.3">
      <c r="A84" s="257">
        <v>1</v>
      </c>
      <c r="B84" s="286"/>
      <c r="C84" s="258"/>
      <c r="D84" s="248">
        <v>2</v>
      </c>
      <c r="E84" s="249"/>
      <c r="F84" s="248">
        <v>3</v>
      </c>
      <c r="G84" s="249"/>
    </row>
    <row r="85" spans="1:7" ht="18.75" x14ac:dyDescent="0.3">
      <c r="A85" s="252" t="s">
        <v>382</v>
      </c>
      <c r="B85" s="253"/>
      <c r="C85" s="254"/>
      <c r="D85" s="248"/>
      <c r="E85" s="249"/>
      <c r="F85" s="265"/>
      <c r="G85" s="267"/>
    </row>
    <row r="86" spans="1:7" ht="18.75" x14ac:dyDescent="0.3">
      <c r="A86" s="252" t="s">
        <v>443</v>
      </c>
      <c r="B86" s="253"/>
      <c r="C86" s="254"/>
      <c r="D86" s="248">
        <v>6</v>
      </c>
      <c r="E86" s="249"/>
      <c r="F86" s="265">
        <v>10560</v>
      </c>
      <c r="G86" s="267"/>
    </row>
    <row r="87" spans="1:7" ht="18.75" x14ac:dyDescent="0.3">
      <c r="A87" s="252" t="s">
        <v>146</v>
      </c>
      <c r="B87" s="253"/>
      <c r="C87" s="254"/>
      <c r="D87" s="248"/>
      <c r="E87" s="249"/>
      <c r="F87" s="265">
        <f>'платные на 2022 год '!D57</f>
        <v>10560</v>
      </c>
      <c r="G87" s="267"/>
    </row>
    <row r="88" spans="1:7" ht="18.75" x14ac:dyDescent="0.25">
      <c r="A88" s="8"/>
    </row>
    <row r="89" spans="1:7" ht="31.9" customHeight="1" x14ac:dyDescent="0.25">
      <c r="A89" s="274" t="s">
        <v>221</v>
      </c>
      <c r="B89" s="274"/>
      <c r="C89" s="274"/>
      <c r="D89" s="274"/>
      <c r="E89" s="274"/>
      <c r="F89" s="274"/>
      <c r="G89" s="274"/>
    </row>
    <row r="90" spans="1:7" ht="18.75" x14ac:dyDescent="0.25">
      <c r="A90" s="9"/>
    </row>
    <row r="91" spans="1:7" ht="18.75" x14ac:dyDescent="0.3">
      <c r="A91" s="9" t="s">
        <v>145</v>
      </c>
      <c r="B91" s="10">
        <v>244</v>
      </c>
    </row>
    <row r="92" spans="1:7" ht="18.75" x14ac:dyDescent="0.25">
      <c r="A92" s="8"/>
    </row>
    <row r="93" spans="1:7" ht="18.75" x14ac:dyDescent="0.25">
      <c r="A93" s="257" t="s">
        <v>86</v>
      </c>
      <c r="B93" s="286"/>
      <c r="C93" s="258"/>
      <c r="D93" s="257" t="s">
        <v>137</v>
      </c>
      <c r="E93" s="258"/>
      <c r="F93" s="257" t="s">
        <v>138</v>
      </c>
      <c r="G93" s="258"/>
    </row>
    <row r="94" spans="1:7" ht="18.75" x14ac:dyDescent="0.3">
      <c r="A94" s="257">
        <v>1</v>
      </c>
      <c r="B94" s="286"/>
      <c r="C94" s="258"/>
      <c r="D94" s="248">
        <v>2</v>
      </c>
      <c r="E94" s="249"/>
      <c r="F94" s="248">
        <v>3</v>
      </c>
      <c r="G94" s="249"/>
    </row>
    <row r="95" spans="1:7" ht="18.75" x14ac:dyDescent="0.3">
      <c r="A95" s="252" t="s">
        <v>382</v>
      </c>
      <c r="B95" s="253"/>
      <c r="C95" s="254"/>
      <c r="D95" s="261"/>
      <c r="E95" s="262"/>
      <c r="F95" s="265"/>
      <c r="G95" s="267"/>
    </row>
    <row r="96" spans="1:7" ht="18.75" x14ac:dyDescent="0.3">
      <c r="A96" s="252" t="s">
        <v>139</v>
      </c>
      <c r="B96" s="253"/>
      <c r="C96" s="254"/>
      <c r="D96" s="261">
        <v>1</v>
      </c>
      <c r="E96" s="262"/>
      <c r="F96" s="265">
        <v>16190</v>
      </c>
      <c r="G96" s="267"/>
    </row>
    <row r="97" spans="1:7" ht="18.75" x14ac:dyDescent="0.3">
      <c r="A97" s="252" t="s">
        <v>146</v>
      </c>
      <c r="B97" s="253"/>
      <c r="C97" s="254"/>
      <c r="D97" s="283"/>
      <c r="E97" s="284"/>
      <c r="F97" s="265">
        <f>'платные на 2022 год '!D63</f>
        <v>16190</v>
      </c>
      <c r="G97" s="267"/>
    </row>
    <row r="98" spans="1:7" ht="18.75" x14ac:dyDescent="0.3">
      <c r="A98" s="28"/>
      <c r="B98" s="28"/>
      <c r="C98" s="28"/>
      <c r="D98" s="17"/>
      <c r="E98" s="17"/>
      <c r="F98" s="198"/>
      <c r="G98" s="198"/>
    </row>
    <row r="99" spans="1:7" ht="18.75" x14ac:dyDescent="0.25">
      <c r="A99" s="282" t="s">
        <v>223</v>
      </c>
      <c r="B99" s="282"/>
      <c r="C99" s="282"/>
      <c r="D99" s="282"/>
      <c r="E99" s="282"/>
      <c r="F99" s="282"/>
      <c r="G99" s="282"/>
    </row>
    <row r="100" spans="1:7" ht="18.75" x14ac:dyDescent="0.25">
      <c r="A100" s="29"/>
    </row>
    <row r="101" spans="1:7" ht="18.75" x14ac:dyDescent="0.3">
      <c r="A101" s="9" t="s">
        <v>145</v>
      </c>
      <c r="B101" s="10">
        <v>244</v>
      </c>
    </row>
    <row r="102" spans="1:7" ht="18.75" x14ac:dyDescent="0.25">
      <c r="A102" s="8"/>
    </row>
    <row r="103" spans="1:7" ht="18.75" x14ac:dyDescent="0.25">
      <c r="A103" s="217" t="s">
        <v>86</v>
      </c>
      <c r="B103" s="275" t="s">
        <v>142</v>
      </c>
      <c r="C103" s="275"/>
      <c r="D103" s="275" t="s">
        <v>143</v>
      </c>
      <c r="E103" s="275"/>
      <c r="F103" s="275" t="s">
        <v>149</v>
      </c>
      <c r="G103" s="275"/>
    </row>
    <row r="104" spans="1:7" ht="18.75" x14ac:dyDescent="0.25">
      <c r="A104" s="217">
        <v>1</v>
      </c>
      <c r="B104" s="257">
        <v>2</v>
      </c>
      <c r="C104" s="258"/>
      <c r="D104" s="257">
        <v>3</v>
      </c>
      <c r="E104" s="258"/>
      <c r="F104" s="257">
        <v>4</v>
      </c>
      <c r="G104" s="258"/>
    </row>
    <row r="105" spans="1:7" ht="18.75" x14ac:dyDescent="0.25">
      <c r="A105" s="217"/>
      <c r="B105" s="257"/>
      <c r="C105" s="258"/>
      <c r="D105" s="257"/>
      <c r="E105" s="258"/>
      <c r="F105" s="255">
        <f t="shared" ref="F105:F106" si="0">B105*D105</f>
        <v>0</v>
      </c>
      <c r="G105" s="256"/>
    </row>
    <row r="106" spans="1:7" ht="18.75" x14ac:dyDescent="0.25">
      <c r="A106" s="216" t="s">
        <v>248</v>
      </c>
      <c r="B106" s="257"/>
      <c r="C106" s="258"/>
      <c r="D106" s="257"/>
      <c r="E106" s="258"/>
      <c r="F106" s="255">
        <f t="shared" si="0"/>
        <v>0</v>
      </c>
      <c r="G106" s="256"/>
    </row>
    <row r="107" spans="1:7" ht="18.75" x14ac:dyDescent="0.25">
      <c r="A107" s="216"/>
      <c r="B107" s="257"/>
      <c r="C107" s="258"/>
      <c r="D107" s="257"/>
      <c r="E107" s="258"/>
      <c r="F107" s="255">
        <f>B107*D107</f>
        <v>0</v>
      </c>
      <c r="G107" s="256"/>
    </row>
    <row r="108" spans="1:7" ht="18.75" x14ac:dyDescent="0.25">
      <c r="A108" s="13" t="s">
        <v>249</v>
      </c>
      <c r="B108" s="257"/>
      <c r="C108" s="258"/>
      <c r="D108" s="257"/>
      <c r="E108" s="258"/>
      <c r="F108" s="255">
        <f>B108*D108</f>
        <v>0</v>
      </c>
      <c r="G108" s="256"/>
    </row>
    <row r="109" spans="1:7" ht="18.75" x14ac:dyDescent="0.25">
      <c r="A109" s="8"/>
    </row>
    <row r="110" spans="1:7" ht="18.75" x14ac:dyDescent="0.25">
      <c r="A110" s="274" t="s">
        <v>224</v>
      </c>
      <c r="B110" s="274"/>
      <c r="C110" s="274"/>
      <c r="D110" s="274"/>
      <c r="E110" s="274"/>
      <c r="F110" s="274"/>
      <c r="G110" s="274"/>
    </row>
    <row r="111" spans="1:7" ht="18.75" x14ac:dyDescent="0.25">
      <c r="A111" s="9"/>
    </row>
    <row r="112" spans="1:7" ht="18.75" x14ac:dyDescent="0.3">
      <c r="A112" s="9" t="s">
        <v>145</v>
      </c>
      <c r="B112" s="10">
        <v>244</v>
      </c>
    </row>
    <row r="113" spans="1:7" ht="18.75" x14ac:dyDescent="0.25">
      <c r="A113" s="8"/>
    </row>
    <row r="114" spans="1:7" ht="18.75" x14ac:dyDescent="0.25">
      <c r="A114" s="68" t="s">
        <v>86</v>
      </c>
      <c r="B114" s="275" t="s">
        <v>142</v>
      </c>
      <c r="C114" s="275"/>
      <c r="D114" s="275" t="s">
        <v>143</v>
      </c>
      <c r="E114" s="275"/>
      <c r="F114" s="275" t="s">
        <v>150</v>
      </c>
      <c r="G114" s="275"/>
    </row>
    <row r="115" spans="1:7" ht="18.75" x14ac:dyDescent="0.25">
      <c r="A115" s="68">
        <v>1</v>
      </c>
      <c r="B115" s="257">
        <v>2</v>
      </c>
      <c r="C115" s="258"/>
      <c r="D115" s="257">
        <v>3</v>
      </c>
      <c r="E115" s="258"/>
      <c r="F115" s="257">
        <v>4</v>
      </c>
      <c r="G115" s="258"/>
    </row>
    <row r="116" spans="1:7" ht="37.5" x14ac:dyDescent="0.25">
      <c r="A116" s="13" t="s">
        <v>144</v>
      </c>
      <c r="B116" s="257">
        <v>65</v>
      </c>
      <c r="C116" s="258"/>
      <c r="D116" s="257">
        <v>35202.239999999998</v>
      </c>
      <c r="E116" s="258"/>
      <c r="F116" s="255">
        <f>'платные на 2022 год '!D98</f>
        <v>2288145.94</v>
      </c>
      <c r="G116" s="256"/>
    </row>
    <row r="117" spans="1:7" ht="18.75" x14ac:dyDescent="0.25">
      <c r="A117" s="13" t="s">
        <v>146</v>
      </c>
      <c r="B117" s="257"/>
      <c r="C117" s="258"/>
      <c r="D117" s="257"/>
      <c r="E117" s="258"/>
      <c r="F117" s="255">
        <f>F116</f>
        <v>2288145.94</v>
      </c>
      <c r="G117" s="256"/>
    </row>
    <row r="118" spans="1:7" ht="18.75" x14ac:dyDescent="0.25">
      <c r="A118" s="8"/>
    </row>
    <row r="119" spans="1:7" ht="18.75" x14ac:dyDescent="0.25">
      <c r="A119" s="282" t="s">
        <v>251</v>
      </c>
      <c r="B119" s="282"/>
      <c r="C119" s="282"/>
      <c r="D119" s="282"/>
      <c r="E119" s="282"/>
      <c r="F119" s="282"/>
      <c r="G119" s="282"/>
    </row>
    <row r="120" spans="1:7" ht="18.75" x14ac:dyDescent="0.25">
      <c r="A120" s="9"/>
    </row>
    <row r="121" spans="1:7" ht="18.75" x14ac:dyDescent="0.3">
      <c r="A121" s="9" t="s">
        <v>145</v>
      </c>
      <c r="B121" s="10">
        <v>244</v>
      </c>
    </row>
    <row r="122" spans="1:7" ht="18.75" x14ac:dyDescent="0.25">
      <c r="A122" s="8"/>
    </row>
    <row r="123" spans="1:7" ht="18.75" x14ac:dyDescent="0.25">
      <c r="A123" s="68" t="s">
        <v>86</v>
      </c>
      <c r="B123" s="275" t="s">
        <v>142</v>
      </c>
      <c r="C123" s="275"/>
      <c r="D123" s="275" t="s">
        <v>143</v>
      </c>
      <c r="E123" s="275"/>
      <c r="F123" s="275" t="s">
        <v>150</v>
      </c>
      <c r="G123" s="275"/>
    </row>
    <row r="124" spans="1:7" ht="18.75" x14ac:dyDescent="0.25">
      <c r="A124" s="68">
        <v>1</v>
      </c>
      <c r="B124" s="257">
        <v>2</v>
      </c>
      <c r="C124" s="258"/>
      <c r="D124" s="257">
        <v>3</v>
      </c>
      <c r="E124" s="258"/>
      <c r="F124" s="257">
        <v>4</v>
      </c>
      <c r="G124" s="258"/>
    </row>
    <row r="125" spans="1:7" ht="18.75" x14ac:dyDescent="0.25">
      <c r="A125" s="13"/>
      <c r="B125" s="287"/>
      <c r="C125" s="288"/>
      <c r="D125" s="287"/>
      <c r="E125" s="288"/>
      <c r="F125" s="255"/>
      <c r="G125" s="256"/>
    </row>
    <row r="126" spans="1:7" ht="18.75" x14ac:dyDescent="0.25">
      <c r="A126" s="13" t="s">
        <v>237</v>
      </c>
      <c r="B126" s="287"/>
      <c r="C126" s="288"/>
      <c r="D126" s="287"/>
      <c r="E126" s="288"/>
      <c r="F126" s="255">
        <f>'платные на 2022 год '!D102</f>
        <v>0</v>
      </c>
      <c r="G126" s="256"/>
    </row>
    <row r="127" spans="1:7" ht="18.75" x14ac:dyDescent="0.25">
      <c r="A127" s="13"/>
      <c r="B127" s="287"/>
      <c r="C127" s="288"/>
      <c r="D127" s="287"/>
      <c r="E127" s="288"/>
      <c r="F127" s="255"/>
      <c r="G127" s="256"/>
    </row>
    <row r="128" spans="1:7" ht="18.75" x14ac:dyDescent="0.25">
      <c r="A128" s="13" t="s">
        <v>238</v>
      </c>
      <c r="B128" s="287"/>
      <c r="C128" s="288"/>
      <c r="D128" s="287"/>
      <c r="E128" s="288"/>
      <c r="F128" s="255">
        <f>'платные на 2022 год '!D103</f>
        <v>0</v>
      </c>
      <c r="G128" s="256"/>
    </row>
    <row r="129" spans="1:7" ht="18.75" x14ac:dyDescent="0.25">
      <c r="A129" s="13"/>
      <c r="B129" s="287"/>
      <c r="C129" s="288"/>
      <c r="D129" s="287"/>
      <c r="E129" s="288"/>
      <c r="F129" s="255"/>
      <c r="G129" s="256"/>
    </row>
    <row r="130" spans="1:7" ht="18.75" x14ac:dyDescent="0.25">
      <c r="A130" s="13" t="s">
        <v>239</v>
      </c>
      <c r="B130" s="287"/>
      <c r="C130" s="288"/>
      <c r="D130" s="287"/>
      <c r="E130" s="288"/>
      <c r="F130" s="255">
        <f>'платные на 2022 год '!D104</f>
        <v>0</v>
      </c>
      <c r="G130" s="256"/>
    </row>
    <row r="131" spans="1:7" ht="18.75" x14ac:dyDescent="0.25">
      <c r="A131" s="13"/>
      <c r="B131" s="287"/>
      <c r="C131" s="288"/>
      <c r="D131" s="287"/>
      <c r="E131" s="288"/>
      <c r="F131" s="255"/>
      <c r="G131" s="256"/>
    </row>
    <row r="132" spans="1:7" ht="18.75" x14ac:dyDescent="0.25">
      <c r="A132" s="13" t="s">
        <v>240</v>
      </c>
      <c r="B132" s="287"/>
      <c r="C132" s="288"/>
      <c r="D132" s="287"/>
      <c r="E132" s="288"/>
      <c r="F132" s="255">
        <f>'платные на 2022 год '!D105</f>
        <v>0</v>
      </c>
      <c r="G132" s="256"/>
    </row>
    <row r="133" spans="1:7" ht="18.75" x14ac:dyDescent="0.25">
      <c r="A133" s="13"/>
      <c r="B133" s="287"/>
      <c r="C133" s="288"/>
      <c r="D133" s="287"/>
      <c r="E133" s="288"/>
      <c r="F133" s="255"/>
      <c r="G133" s="256"/>
    </row>
    <row r="134" spans="1:7" ht="18.75" x14ac:dyDescent="0.25">
      <c r="A134" s="13" t="s">
        <v>241</v>
      </c>
      <c r="B134" s="287"/>
      <c r="C134" s="288"/>
      <c r="D134" s="287"/>
      <c r="E134" s="288"/>
      <c r="F134" s="255">
        <f>'платные на 2022 год '!D106</f>
        <v>0</v>
      </c>
      <c r="G134" s="256"/>
    </row>
    <row r="135" spans="1:7" ht="18.75" customHeight="1" x14ac:dyDescent="0.25">
      <c r="A135" s="13"/>
      <c r="B135" s="287"/>
      <c r="C135" s="288"/>
      <c r="D135" s="287"/>
      <c r="E135" s="288"/>
      <c r="F135" s="255"/>
      <c r="G135" s="256"/>
    </row>
    <row r="136" spans="1:7" ht="18.75" x14ac:dyDescent="0.25">
      <c r="A136" s="13" t="s">
        <v>242</v>
      </c>
      <c r="B136" s="287"/>
      <c r="C136" s="288"/>
      <c r="D136" s="287"/>
      <c r="E136" s="288"/>
      <c r="F136" s="255">
        <f>'платные на 2022 год '!D107</f>
        <v>487478.28</v>
      </c>
      <c r="G136" s="256"/>
    </row>
    <row r="137" spans="1:7" ht="37.5" x14ac:dyDescent="0.25">
      <c r="A137" s="13" t="s">
        <v>347</v>
      </c>
      <c r="B137" s="311" t="s">
        <v>498</v>
      </c>
      <c r="C137" s="312"/>
      <c r="D137" s="255">
        <v>1151.03</v>
      </c>
      <c r="E137" s="256"/>
      <c r="F137" s="255">
        <v>345307.53</v>
      </c>
      <c r="G137" s="256"/>
    </row>
    <row r="138" spans="1:7" ht="18.75" x14ac:dyDescent="0.25">
      <c r="A138" s="13" t="s">
        <v>242</v>
      </c>
      <c r="B138" s="287"/>
      <c r="C138" s="288"/>
      <c r="D138" s="287"/>
      <c r="E138" s="288"/>
      <c r="F138" s="255">
        <f>'платные на 2022 год '!D108</f>
        <v>0</v>
      </c>
      <c r="G138" s="256"/>
    </row>
    <row r="139" spans="1:7" ht="18.75" x14ac:dyDescent="0.25">
      <c r="A139" s="13" t="s">
        <v>243</v>
      </c>
      <c r="B139" s="287">
        <v>3</v>
      </c>
      <c r="C139" s="288"/>
      <c r="D139" s="255">
        <v>3204</v>
      </c>
      <c r="E139" s="256"/>
      <c r="F139" s="255">
        <f>'платные на 2022 год '!D109</f>
        <v>9612</v>
      </c>
      <c r="G139" s="256"/>
    </row>
    <row r="140" spans="1:7" ht="18.75" x14ac:dyDescent="0.25">
      <c r="A140" s="15"/>
      <c r="B140" s="16"/>
      <c r="C140" s="16"/>
      <c r="D140" s="16"/>
      <c r="E140" s="16"/>
      <c r="F140" s="78"/>
      <c r="G140" s="78"/>
    </row>
    <row r="141" spans="1:7" ht="18.75" x14ac:dyDescent="0.25">
      <c r="A141" s="29"/>
    </row>
    <row r="142" spans="1:7" ht="37.5" x14ac:dyDescent="0.3">
      <c r="A142" s="29" t="s">
        <v>151</v>
      </c>
      <c r="B142" s="10"/>
      <c r="C142" s="224"/>
      <c r="D142" s="224"/>
      <c r="E142" s="10"/>
      <c r="F142" s="224" t="s">
        <v>499</v>
      </c>
      <c r="G142" s="224"/>
    </row>
    <row r="143" spans="1:7" ht="18.75" x14ac:dyDescent="0.3">
      <c r="A143" s="29"/>
      <c r="B143" s="10"/>
      <c r="C143" s="223" t="s">
        <v>53</v>
      </c>
      <c r="D143" s="223"/>
      <c r="E143" s="10"/>
      <c r="F143" s="223" t="s">
        <v>54</v>
      </c>
      <c r="G143" s="223"/>
    </row>
    <row r="144" spans="1:7" ht="18.75" x14ac:dyDescent="0.3">
      <c r="A144" s="29"/>
      <c r="B144" s="10"/>
      <c r="C144" s="65"/>
      <c r="D144" s="65"/>
      <c r="E144" s="10"/>
      <c r="F144" s="65"/>
      <c r="G144" s="65"/>
    </row>
    <row r="145" spans="1:7" ht="56.25" x14ac:dyDescent="0.3">
      <c r="A145" s="29" t="s">
        <v>152</v>
      </c>
      <c r="B145" s="10"/>
      <c r="C145" s="224"/>
      <c r="D145" s="224"/>
      <c r="E145" s="10"/>
      <c r="F145" s="224" t="s">
        <v>500</v>
      </c>
      <c r="G145" s="224"/>
    </row>
    <row r="146" spans="1:7" ht="18.75" x14ac:dyDescent="0.3">
      <c r="A146" s="29"/>
      <c r="B146" s="10"/>
      <c r="C146" s="223" t="s">
        <v>53</v>
      </c>
      <c r="D146" s="223"/>
      <c r="E146" s="10"/>
      <c r="F146" s="223" t="s">
        <v>54</v>
      </c>
      <c r="G146" s="223"/>
    </row>
    <row r="147" spans="1:7" ht="18.75" x14ac:dyDescent="0.3">
      <c r="A147" s="29"/>
      <c r="B147" s="10"/>
      <c r="C147" s="65"/>
      <c r="D147" s="65"/>
      <c r="E147" s="10"/>
      <c r="F147" s="65"/>
      <c r="G147" s="65"/>
    </row>
    <row r="148" spans="1:7" ht="18.75" x14ac:dyDescent="0.3">
      <c r="A148" s="29" t="s">
        <v>153</v>
      </c>
      <c r="B148" s="10"/>
      <c r="C148" s="224"/>
      <c r="D148" s="224"/>
      <c r="E148" s="10"/>
      <c r="F148" s="224" t="s">
        <v>500</v>
      </c>
      <c r="G148" s="224"/>
    </row>
    <row r="149" spans="1:7" ht="18.75" x14ac:dyDescent="0.3">
      <c r="A149" s="29"/>
      <c r="B149" s="10"/>
      <c r="C149" s="223" t="s">
        <v>53</v>
      </c>
      <c r="D149" s="223"/>
      <c r="E149" s="10"/>
      <c r="F149" s="223" t="s">
        <v>54</v>
      </c>
      <c r="G149" s="223"/>
    </row>
    <row r="150" spans="1:7" ht="18.75" x14ac:dyDescent="0.3">
      <c r="A150" s="29" t="s">
        <v>154</v>
      </c>
      <c r="B150" s="10"/>
      <c r="C150" s="10"/>
      <c r="D150" s="10"/>
      <c r="E150" s="10"/>
      <c r="F150" s="10"/>
      <c r="G150" s="10"/>
    </row>
    <row r="151" spans="1:7" ht="18.75" x14ac:dyDescent="0.3">
      <c r="A151" s="222" t="s">
        <v>44</v>
      </c>
      <c r="B151" s="222"/>
      <c r="C151" s="10"/>
      <c r="D151" s="10"/>
      <c r="E151" s="10"/>
      <c r="F151" s="10"/>
      <c r="G151" s="10"/>
    </row>
  </sheetData>
  <mergeCells count="217">
    <mergeCell ref="F77:G77"/>
    <mergeCell ref="B78:C78"/>
    <mergeCell ref="D78:E78"/>
    <mergeCell ref="F78:G78"/>
    <mergeCell ref="A72:G72"/>
    <mergeCell ref="B75:C75"/>
    <mergeCell ref="D75:E75"/>
    <mergeCell ref="F75:G75"/>
    <mergeCell ref="B76:C76"/>
    <mergeCell ref="D76:E76"/>
    <mergeCell ref="F76:G76"/>
    <mergeCell ref="A99:G99"/>
    <mergeCell ref="B103:C103"/>
    <mergeCell ref="D103:E103"/>
    <mergeCell ref="F103:G103"/>
    <mergeCell ref="B104:C104"/>
    <mergeCell ref="D104:E104"/>
    <mergeCell ref="F104:G104"/>
    <mergeCell ref="B105:C105"/>
    <mergeCell ref="D105:E105"/>
    <mergeCell ref="F105:G105"/>
    <mergeCell ref="B106:C106"/>
    <mergeCell ref="D106:E106"/>
    <mergeCell ref="F106:G106"/>
    <mergeCell ref="B107:C107"/>
    <mergeCell ref="D107:E107"/>
    <mergeCell ref="F107:G107"/>
    <mergeCell ref="B108:C108"/>
    <mergeCell ref="D108:E108"/>
    <mergeCell ref="F108:G108"/>
    <mergeCell ref="F56:G56"/>
    <mergeCell ref="D56:E56"/>
    <mergeCell ref="B56:C56"/>
    <mergeCell ref="F55:G55"/>
    <mergeCell ref="D55:E55"/>
    <mergeCell ref="B55:C55"/>
    <mergeCell ref="A87:C87"/>
    <mergeCell ref="D87:E87"/>
    <mergeCell ref="F87:G87"/>
    <mergeCell ref="A86:C86"/>
    <mergeCell ref="D86:E86"/>
    <mergeCell ref="F86:G86"/>
    <mergeCell ref="A80:G80"/>
    <mergeCell ref="A83:C83"/>
    <mergeCell ref="D83:E83"/>
    <mergeCell ref="F83:G83"/>
    <mergeCell ref="A84:C84"/>
    <mergeCell ref="D84:E84"/>
    <mergeCell ref="F84:G84"/>
    <mergeCell ref="A85:C85"/>
    <mergeCell ref="D85:E85"/>
    <mergeCell ref="F85:G85"/>
    <mergeCell ref="B77:C77"/>
    <mergeCell ref="D77:E77"/>
    <mergeCell ref="A13:G13"/>
    <mergeCell ref="A17:C17"/>
    <mergeCell ref="D17:G17"/>
    <mergeCell ref="A18:C18"/>
    <mergeCell ref="D18:G18"/>
    <mergeCell ref="A19:C19"/>
    <mergeCell ref="D19:G19"/>
    <mergeCell ref="F137:G137"/>
    <mergeCell ref="B139:C139"/>
    <mergeCell ref="D139:E139"/>
    <mergeCell ref="F139:G139"/>
    <mergeCell ref="B135:C135"/>
    <mergeCell ref="D135:E135"/>
    <mergeCell ref="B136:C136"/>
    <mergeCell ref="D136:E136"/>
    <mergeCell ref="B137:C137"/>
    <mergeCell ref="D137:E137"/>
    <mergeCell ref="F135:G135"/>
    <mergeCell ref="B133:C133"/>
    <mergeCell ref="D133:E133"/>
    <mergeCell ref="B134:C134"/>
    <mergeCell ref="D134:E134"/>
    <mergeCell ref="B131:C131"/>
    <mergeCell ref="D131:E131"/>
    <mergeCell ref="A151:B151"/>
    <mergeCell ref="C146:D146"/>
    <mergeCell ref="F146:G146"/>
    <mergeCell ref="C148:D148"/>
    <mergeCell ref="F148:G148"/>
    <mergeCell ref="C149:D149"/>
    <mergeCell ref="F149:G149"/>
    <mergeCell ref="C142:D142"/>
    <mergeCell ref="F142:G142"/>
    <mergeCell ref="C143:D143"/>
    <mergeCell ref="F143:G143"/>
    <mergeCell ref="C145:D145"/>
    <mergeCell ref="F145:G145"/>
    <mergeCell ref="F131:G131"/>
    <mergeCell ref="B132:C132"/>
    <mergeCell ref="D132:E132"/>
    <mergeCell ref="F134:G134"/>
    <mergeCell ref="B129:C129"/>
    <mergeCell ref="D129:E129"/>
    <mergeCell ref="B130:C130"/>
    <mergeCell ref="D130:E130"/>
    <mergeCell ref="B127:C127"/>
    <mergeCell ref="D127:E127"/>
    <mergeCell ref="F127:G127"/>
    <mergeCell ref="B128:C128"/>
    <mergeCell ref="D128:E128"/>
    <mergeCell ref="F128:G128"/>
    <mergeCell ref="B125:C125"/>
    <mergeCell ref="D125:E125"/>
    <mergeCell ref="B126:C126"/>
    <mergeCell ref="D126:E126"/>
    <mergeCell ref="A119:G119"/>
    <mergeCell ref="B123:C123"/>
    <mergeCell ref="D123:E123"/>
    <mergeCell ref="F123:G123"/>
    <mergeCell ref="B124:C124"/>
    <mergeCell ref="D124:E124"/>
    <mergeCell ref="F124:G124"/>
    <mergeCell ref="B116:C116"/>
    <mergeCell ref="D116:E116"/>
    <mergeCell ref="F116:G116"/>
    <mergeCell ref="B117:C117"/>
    <mergeCell ref="D117:E117"/>
    <mergeCell ref="F117:G117"/>
    <mergeCell ref="A110:G110"/>
    <mergeCell ref="B114:C114"/>
    <mergeCell ref="D114:E114"/>
    <mergeCell ref="F114:G114"/>
    <mergeCell ref="B115:C115"/>
    <mergeCell ref="D115:E115"/>
    <mergeCell ref="F115:G115"/>
    <mergeCell ref="A24:G24"/>
    <mergeCell ref="A28:A30"/>
    <mergeCell ref="B28:B30"/>
    <mergeCell ref="C28:F28"/>
    <mergeCell ref="G28:G30"/>
    <mergeCell ref="C29:C30"/>
    <mergeCell ref="D29:F29"/>
    <mergeCell ref="F136:G136"/>
    <mergeCell ref="F129:G129"/>
    <mergeCell ref="F130:G130"/>
    <mergeCell ref="F125:G125"/>
    <mergeCell ref="F126:G126"/>
    <mergeCell ref="F132:G132"/>
    <mergeCell ref="F133:G133"/>
    <mergeCell ref="B42:C42"/>
    <mergeCell ref="D42:E42"/>
    <mergeCell ref="F42:G42"/>
    <mergeCell ref="A44:G44"/>
    <mergeCell ref="C48:D48"/>
    <mergeCell ref="F48:G48"/>
    <mergeCell ref="C49:D49"/>
    <mergeCell ref="F49:G49"/>
    <mergeCell ref="C50:D50"/>
    <mergeCell ref="F50:G50"/>
    <mergeCell ref="B138:C138"/>
    <mergeCell ref="D138:E138"/>
    <mergeCell ref="F138:G138"/>
    <mergeCell ref="B11:C11"/>
    <mergeCell ref="D11:E11"/>
    <mergeCell ref="F11:G11"/>
    <mergeCell ref="B9:C9"/>
    <mergeCell ref="D9:E9"/>
    <mergeCell ref="A1:G1"/>
    <mergeCell ref="A3:G3"/>
    <mergeCell ref="A4:G4"/>
    <mergeCell ref="F9:G9"/>
    <mergeCell ref="B10:C10"/>
    <mergeCell ref="D10:E10"/>
    <mergeCell ref="F10:G10"/>
    <mergeCell ref="A35:G35"/>
    <mergeCell ref="A39:A40"/>
    <mergeCell ref="B39:C40"/>
    <mergeCell ref="D39:E40"/>
    <mergeCell ref="F39:G40"/>
    <mergeCell ref="B41:C41"/>
    <mergeCell ref="D41:E41"/>
    <mergeCell ref="F41:G41"/>
    <mergeCell ref="A22:G22"/>
    <mergeCell ref="A97:C97"/>
    <mergeCell ref="D97:E97"/>
    <mergeCell ref="F97:G97"/>
    <mergeCell ref="A96:C96"/>
    <mergeCell ref="D96:E96"/>
    <mergeCell ref="F96:G96"/>
    <mergeCell ref="A89:G89"/>
    <mergeCell ref="A93:C93"/>
    <mergeCell ref="D93:E93"/>
    <mergeCell ref="F93:G93"/>
    <mergeCell ref="A94:C94"/>
    <mergeCell ref="D94:E94"/>
    <mergeCell ref="F94:G94"/>
    <mergeCell ref="A95:C95"/>
    <mergeCell ref="D95:E95"/>
    <mergeCell ref="F95:G95"/>
    <mergeCell ref="A52:G52"/>
    <mergeCell ref="D68:E68"/>
    <mergeCell ref="F68:G68"/>
    <mergeCell ref="D69:E69"/>
    <mergeCell ref="F69:G69"/>
    <mergeCell ref="D70:E70"/>
    <mergeCell ref="F70:G70"/>
    <mergeCell ref="F64:G64"/>
    <mergeCell ref="B68:C68"/>
    <mergeCell ref="B69:C69"/>
    <mergeCell ref="B70:C70"/>
    <mergeCell ref="B62:C62"/>
    <mergeCell ref="D62:E62"/>
    <mergeCell ref="F62:G62"/>
    <mergeCell ref="B63:C63"/>
    <mergeCell ref="D63:E63"/>
    <mergeCell ref="F63:G63"/>
    <mergeCell ref="B64:C64"/>
    <mergeCell ref="D64:E64"/>
    <mergeCell ref="D58:E58"/>
    <mergeCell ref="B58:C58"/>
    <mergeCell ref="F57:G58"/>
    <mergeCell ref="D57:E57"/>
    <mergeCell ref="B57:C57"/>
  </mergeCells>
  <pageMargins left="1.3779527559055118" right="0.39370078740157483" top="0.98425196850393704" bottom="0.78740157480314965" header="0.31496062992125984" footer="0.31496062992125984"/>
  <pageSetup paperSize="9" scale="46" orientation="portrait" r:id="rId1"/>
  <rowBreaks count="2" manualBreakCount="2">
    <brk id="50" max="6" man="1"/>
    <brk id="114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11"/>
  <sheetViews>
    <sheetView view="pageBreakPreview" topLeftCell="A54" zoomScaleNormal="100" zoomScaleSheetLayoutView="100" workbookViewId="0">
      <selection activeCell="E58" sqref="E58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6" width="17.42578125" style="7" customWidth="1"/>
    <col min="7" max="8" width="8.85546875" style="7"/>
    <col min="9" max="9" width="12.28515625" style="7" bestFit="1" customWidth="1"/>
    <col min="10" max="16384" width="8.85546875" style="7"/>
  </cols>
  <sheetData>
    <row r="1" spans="1:6" ht="18.75" x14ac:dyDescent="0.25">
      <c r="A1" s="237" t="s">
        <v>191</v>
      </c>
      <c r="B1" s="237"/>
      <c r="C1" s="237"/>
      <c r="D1" s="237"/>
      <c r="E1" s="237"/>
      <c r="F1" s="237"/>
    </row>
    <row r="2" spans="1:6" ht="18.75" x14ac:dyDescent="0.25">
      <c r="A2" s="237" t="s">
        <v>459</v>
      </c>
      <c r="B2" s="237"/>
      <c r="C2" s="237"/>
      <c r="D2" s="237"/>
      <c r="E2" s="237"/>
      <c r="F2" s="237"/>
    </row>
    <row r="3" spans="1:6" x14ac:dyDescent="0.25">
      <c r="A3" s="30"/>
    </row>
    <row r="4" spans="1:6" ht="19.5" thickBot="1" x14ac:dyDescent="0.3">
      <c r="A4" s="6"/>
      <c r="F4" s="6" t="s">
        <v>51</v>
      </c>
    </row>
    <row r="5" spans="1:6" ht="18.600000000000001" customHeight="1" x14ac:dyDescent="0.25">
      <c r="A5" s="229" t="s">
        <v>0</v>
      </c>
      <c r="B5" s="231" t="s">
        <v>45</v>
      </c>
      <c r="C5" s="233" t="s">
        <v>46</v>
      </c>
      <c r="D5" s="231" t="s">
        <v>1</v>
      </c>
      <c r="E5" s="231" t="s">
        <v>2</v>
      </c>
      <c r="F5" s="241"/>
    </row>
    <row r="6" spans="1:6" ht="126.75" thickBot="1" x14ac:dyDescent="0.3">
      <c r="A6" s="230"/>
      <c r="B6" s="232"/>
      <c r="C6" s="234"/>
      <c r="D6" s="232"/>
      <c r="E6" s="120" t="s">
        <v>3</v>
      </c>
      <c r="F6" s="38" t="s">
        <v>4</v>
      </c>
    </row>
    <row r="7" spans="1:6" ht="15.75" thickBot="1" x14ac:dyDescent="0.3">
      <c r="A7" s="43">
        <v>1</v>
      </c>
      <c r="B7" s="44">
        <v>2</v>
      </c>
      <c r="C7" s="44">
        <v>3</v>
      </c>
      <c r="D7" s="44">
        <v>4</v>
      </c>
      <c r="E7" s="44">
        <v>5</v>
      </c>
      <c r="F7" s="45">
        <v>6</v>
      </c>
    </row>
    <row r="8" spans="1:6" ht="56.25" x14ac:dyDescent="0.25">
      <c r="A8" s="39" t="s">
        <v>47</v>
      </c>
      <c r="B8" s="40" t="s">
        <v>5</v>
      </c>
      <c r="C8" s="40" t="s">
        <v>5</v>
      </c>
      <c r="D8" s="41">
        <f>E8+F8</f>
        <v>0</v>
      </c>
      <c r="E8" s="41">
        <v>0</v>
      </c>
      <c r="F8" s="42">
        <v>0</v>
      </c>
    </row>
    <row r="9" spans="1:6" ht="56.25" x14ac:dyDescent="0.25">
      <c r="A9" s="121" t="s">
        <v>48</v>
      </c>
      <c r="B9" s="123" t="s">
        <v>5</v>
      </c>
      <c r="C9" s="123" t="s">
        <v>5</v>
      </c>
      <c r="D9" s="5">
        <f t="shared" ref="D9:D71" si="0">E9+F9</f>
        <v>0</v>
      </c>
      <c r="E9" s="5">
        <f>E10+E8-E16+E101</f>
        <v>0</v>
      </c>
      <c r="F9" s="31">
        <f>F10+F8-F16+F101</f>
        <v>0</v>
      </c>
    </row>
    <row r="10" spans="1:6" ht="18.75" x14ac:dyDescent="0.25">
      <c r="A10" s="121" t="s">
        <v>49</v>
      </c>
      <c r="B10" s="123" t="s">
        <v>5</v>
      </c>
      <c r="C10" s="123" t="s">
        <v>5</v>
      </c>
      <c r="D10" s="2">
        <f>E10+F10</f>
        <v>2219929.9000000004</v>
      </c>
      <c r="E10" s="2">
        <f>E12</f>
        <v>2219929.9000000004</v>
      </c>
      <c r="F10" s="4">
        <f>F12</f>
        <v>0</v>
      </c>
    </row>
    <row r="11" spans="1:6" ht="18.75" x14ac:dyDescent="0.25">
      <c r="A11" s="121" t="s">
        <v>6</v>
      </c>
      <c r="B11" s="123"/>
      <c r="C11" s="123"/>
      <c r="D11" s="2"/>
      <c r="E11" s="2"/>
      <c r="F11" s="4"/>
    </row>
    <row r="12" spans="1:6" ht="18.75" x14ac:dyDescent="0.25">
      <c r="A12" s="121" t="s">
        <v>62</v>
      </c>
      <c r="B12" s="123">
        <v>150</v>
      </c>
      <c r="C12" s="123" t="s">
        <v>5</v>
      </c>
      <c r="D12" s="2">
        <f t="shared" si="0"/>
        <v>2219929.9000000004</v>
      </c>
      <c r="E12" s="2">
        <f>SUM(E13:E15)</f>
        <v>2219929.9000000004</v>
      </c>
      <c r="F12" s="4">
        <f>SUM(F13:F14)</f>
        <v>0</v>
      </c>
    </row>
    <row r="13" spans="1:6" ht="18.75" x14ac:dyDescent="0.25">
      <c r="A13" s="121" t="s">
        <v>6</v>
      </c>
      <c r="B13" s="123"/>
      <c r="C13" s="123"/>
      <c r="D13" s="2">
        <f t="shared" si="0"/>
        <v>0</v>
      </c>
      <c r="E13" s="2"/>
      <c r="F13" s="4"/>
    </row>
    <row r="14" spans="1:6" ht="56.25" x14ac:dyDescent="0.25">
      <c r="A14" s="121" t="s">
        <v>444</v>
      </c>
      <c r="B14" s="123"/>
      <c r="C14" s="123"/>
      <c r="D14" s="2">
        <f>E14+F14</f>
        <v>194150</v>
      </c>
      <c r="E14" s="2">
        <v>194150</v>
      </c>
      <c r="F14" s="4">
        <v>0</v>
      </c>
    </row>
    <row r="15" spans="1:6" ht="112.5" x14ac:dyDescent="0.25">
      <c r="A15" s="178" t="s">
        <v>368</v>
      </c>
      <c r="B15" s="179"/>
      <c r="C15" s="179"/>
      <c r="D15" s="2">
        <f t="shared" ref="D15" si="1">E15+F15</f>
        <v>2025779.9000000001</v>
      </c>
      <c r="E15" s="2">
        <f>2369333.33-343553.43</f>
        <v>2025779.9000000001</v>
      </c>
      <c r="F15" s="4">
        <v>0</v>
      </c>
    </row>
    <row r="16" spans="1:6" ht="18.75" x14ac:dyDescent="0.25">
      <c r="A16" s="121" t="s">
        <v>7</v>
      </c>
      <c r="B16" s="123" t="s">
        <v>5</v>
      </c>
      <c r="C16" s="123">
        <v>900</v>
      </c>
      <c r="D16" s="5">
        <f t="shared" si="0"/>
        <v>2219929.9000000004</v>
      </c>
      <c r="E16" s="2">
        <f>E18+E87</f>
        <v>2219929.9000000004</v>
      </c>
      <c r="F16" s="4">
        <f>F18+F87</f>
        <v>0</v>
      </c>
    </row>
    <row r="17" spans="1:6" ht="18.75" x14ac:dyDescent="0.25">
      <c r="A17" s="121" t="s">
        <v>6</v>
      </c>
      <c r="B17" s="123"/>
      <c r="C17" s="123"/>
      <c r="D17" s="5"/>
      <c r="E17" s="2"/>
      <c r="F17" s="4"/>
    </row>
    <row r="18" spans="1:6" ht="18.75" x14ac:dyDescent="0.25">
      <c r="A18" s="121" t="s">
        <v>8</v>
      </c>
      <c r="B18" s="123" t="s">
        <v>5</v>
      </c>
      <c r="C18" s="123">
        <v>200</v>
      </c>
      <c r="D18" s="5">
        <f t="shared" si="0"/>
        <v>194150</v>
      </c>
      <c r="E18" s="2">
        <f>E20+E28+E57+E66</f>
        <v>194150</v>
      </c>
      <c r="F18" s="4">
        <f>F20+F28+F57+F66</f>
        <v>0</v>
      </c>
    </row>
    <row r="19" spans="1:6" ht="14.45" customHeight="1" x14ac:dyDescent="0.25">
      <c r="A19" s="121" t="s">
        <v>9</v>
      </c>
      <c r="B19" s="123"/>
      <c r="C19" s="123"/>
      <c r="D19" s="5"/>
      <c r="E19" s="2"/>
      <c r="F19" s="4"/>
    </row>
    <row r="20" spans="1:6" ht="75" x14ac:dyDescent="0.25">
      <c r="A20" s="121" t="s">
        <v>10</v>
      </c>
      <c r="B20" s="123" t="s">
        <v>5</v>
      </c>
      <c r="C20" s="123">
        <v>210</v>
      </c>
      <c r="D20" s="5">
        <f t="shared" si="0"/>
        <v>0</v>
      </c>
      <c r="E20" s="2">
        <f>E22+E23+E24+E25</f>
        <v>0</v>
      </c>
      <c r="F20" s="4">
        <f>F22+F23+F24+F25</f>
        <v>0</v>
      </c>
    </row>
    <row r="21" spans="1:6" ht="18.75" x14ac:dyDescent="0.25">
      <c r="A21" s="121" t="s">
        <v>9</v>
      </c>
      <c r="B21" s="123"/>
      <c r="C21" s="123"/>
      <c r="D21" s="5"/>
      <c r="E21" s="2"/>
      <c r="F21" s="4"/>
    </row>
    <row r="22" spans="1:6" ht="18.75" x14ac:dyDescent="0.25">
      <c r="A22" s="121" t="s">
        <v>11</v>
      </c>
      <c r="B22" s="123">
        <v>111</v>
      </c>
      <c r="C22" s="123">
        <v>211</v>
      </c>
      <c r="D22" s="5">
        <f t="shared" si="0"/>
        <v>0</v>
      </c>
      <c r="E22" s="2">
        <v>0</v>
      </c>
      <c r="F22" s="4"/>
    </row>
    <row r="23" spans="1:6" ht="75" x14ac:dyDescent="0.25">
      <c r="A23" s="121" t="s">
        <v>12</v>
      </c>
      <c r="B23" s="123">
        <v>112</v>
      </c>
      <c r="C23" s="123">
        <v>212</v>
      </c>
      <c r="D23" s="5">
        <f t="shared" si="0"/>
        <v>0</v>
      </c>
      <c r="E23" s="2">
        <v>0</v>
      </c>
      <c r="F23" s="4"/>
    </row>
    <row r="24" spans="1:6" ht="56.25" x14ac:dyDescent="0.25">
      <c r="A24" s="121" t="s">
        <v>13</v>
      </c>
      <c r="B24" s="123">
        <v>119</v>
      </c>
      <c r="C24" s="123">
        <v>213</v>
      </c>
      <c r="D24" s="5">
        <f t="shared" si="0"/>
        <v>0</v>
      </c>
      <c r="E24" s="2">
        <v>0</v>
      </c>
      <c r="F24" s="4"/>
    </row>
    <row r="25" spans="1:6" ht="93.75" x14ac:dyDescent="0.25">
      <c r="A25" s="121" t="s">
        <v>201</v>
      </c>
      <c r="B25" s="123" t="s">
        <v>5</v>
      </c>
      <c r="C25" s="123">
        <v>214</v>
      </c>
      <c r="D25" s="5">
        <f>E25+F25</f>
        <v>0</v>
      </c>
      <c r="E25" s="2">
        <f>E26+E27</f>
        <v>0</v>
      </c>
      <c r="F25" s="4">
        <f>F26+F27</f>
        <v>0</v>
      </c>
    </row>
    <row r="26" spans="1:6" ht="18.75" x14ac:dyDescent="0.25">
      <c r="A26" s="315" t="s">
        <v>6</v>
      </c>
      <c r="B26" s="123">
        <v>112</v>
      </c>
      <c r="C26" s="123">
        <v>214</v>
      </c>
      <c r="D26" s="5">
        <f t="shared" si="0"/>
        <v>0</v>
      </c>
      <c r="E26" s="2">
        <v>0</v>
      </c>
      <c r="F26" s="4"/>
    </row>
    <row r="27" spans="1:6" ht="25.15" customHeight="1" x14ac:dyDescent="0.25">
      <c r="A27" s="316"/>
      <c r="B27" s="123">
        <v>244</v>
      </c>
      <c r="C27" s="123">
        <v>214</v>
      </c>
      <c r="D27" s="5">
        <v>0</v>
      </c>
      <c r="E27" s="2">
        <v>0</v>
      </c>
      <c r="F27" s="4"/>
    </row>
    <row r="28" spans="1:6" ht="37.5" x14ac:dyDescent="0.25">
      <c r="A28" s="121" t="s">
        <v>14</v>
      </c>
      <c r="B28" s="123" t="s">
        <v>5</v>
      </c>
      <c r="C28" s="123">
        <v>220</v>
      </c>
      <c r="D28" s="5">
        <f t="shared" si="0"/>
        <v>194150</v>
      </c>
      <c r="E28" s="2">
        <f>E30+E31+E34+E45+E46+E49+E55+E56</f>
        <v>194150</v>
      </c>
      <c r="F28" s="4">
        <f>F30+F31+F34+F45+F46+F49+F55</f>
        <v>0</v>
      </c>
    </row>
    <row r="29" spans="1:6" ht="18.75" x14ac:dyDescent="0.25">
      <c r="A29" s="121" t="s">
        <v>9</v>
      </c>
      <c r="B29" s="123"/>
      <c r="C29" s="123"/>
      <c r="D29" s="5"/>
      <c r="E29" s="2"/>
      <c r="F29" s="4"/>
    </row>
    <row r="30" spans="1:6" ht="18.75" x14ac:dyDescent="0.25">
      <c r="A30" s="121" t="s">
        <v>15</v>
      </c>
      <c r="B30" s="123">
        <v>244</v>
      </c>
      <c r="C30" s="123">
        <v>221</v>
      </c>
      <c r="D30" s="5">
        <f t="shared" si="0"/>
        <v>0</v>
      </c>
      <c r="E30" s="2">
        <v>0</v>
      </c>
      <c r="F30" s="4"/>
    </row>
    <row r="31" spans="1:6" ht="37.5" x14ac:dyDescent="0.25">
      <c r="A31" s="121" t="s">
        <v>16</v>
      </c>
      <c r="B31" s="123" t="s">
        <v>5</v>
      </c>
      <c r="C31" s="123">
        <v>222</v>
      </c>
      <c r="D31" s="5">
        <f t="shared" si="0"/>
        <v>0</v>
      </c>
      <c r="E31" s="2">
        <f>E32+E33</f>
        <v>0</v>
      </c>
      <c r="F31" s="4">
        <f>F32+F33</f>
        <v>0</v>
      </c>
    </row>
    <row r="32" spans="1:6" ht="22.9" customHeight="1" x14ac:dyDescent="0.25">
      <c r="A32" s="221" t="s">
        <v>6</v>
      </c>
      <c r="B32" s="123">
        <v>112</v>
      </c>
      <c r="C32" s="123">
        <v>222</v>
      </c>
      <c r="D32" s="5">
        <f t="shared" si="0"/>
        <v>0</v>
      </c>
      <c r="E32" s="2">
        <v>0</v>
      </c>
      <c r="F32" s="4"/>
    </row>
    <row r="33" spans="1:6" ht="18.75" x14ac:dyDescent="0.25">
      <c r="A33" s="221"/>
      <c r="B33" s="123">
        <v>244</v>
      </c>
      <c r="C33" s="123">
        <v>222</v>
      </c>
      <c r="D33" s="5">
        <f t="shared" si="0"/>
        <v>0</v>
      </c>
      <c r="E33" s="2">
        <v>0</v>
      </c>
      <c r="F33" s="4"/>
    </row>
    <row r="34" spans="1:6" ht="37.5" x14ac:dyDescent="0.25">
      <c r="A34" s="121" t="s">
        <v>17</v>
      </c>
      <c r="B34" s="123" t="s">
        <v>5</v>
      </c>
      <c r="C34" s="123">
        <v>223</v>
      </c>
      <c r="D34" s="5">
        <f t="shared" si="0"/>
        <v>0</v>
      </c>
      <c r="E34" s="2">
        <f>E37+E39+E41+E42+E43</f>
        <v>0</v>
      </c>
      <c r="F34" s="4">
        <f t="shared" ref="F34" si="2">F37+F39+F41+F42+F43</f>
        <v>0</v>
      </c>
    </row>
    <row r="35" spans="1:6" ht="18.75" x14ac:dyDescent="0.25">
      <c r="A35" s="121" t="s">
        <v>6</v>
      </c>
      <c r="B35" s="123"/>
      <c r="C35" s="123"/>
      <c r="D35" s="5"/>
      <c r="E35" s="2"/>
      <c r="F35" s="4"/>
    </row>
    <row r="36" spans="1:6" ht="56.25" x14ac:dyDescent="0.25">
      <c r="A36" s="190" t="s">
        <v>18</v>
      </c>
      <c r="B36" s="191">
        <v>244</v>
      </c>
      <c r="C36" s="191">
        <v>223</v>
      </c>
      <c r="D36" s="5">
        <f t="shared" ref="D36" si="3">E36+F36</f>
        <v>0</v>
      </c>
      <c r="E36" s="2">
        <v>0</v>
      </c>
      <c r="F36" s="4"/>
    </row>
    <row r="37" spans="1:6" ht="56.25" x14ac:dyDescent="0.25">
      <c r="A37" s="121" t="s">
        <v>18</v>
      </c>
      <c r="B37" s="123">
        <v>247</v>
      </c>
      <c r="C37" s="123">
        <v>223</v>
      </c>
      <c r="D37" s="5">
        <f t="shared" si="0"/>
        <v>0</v>
      </c>
      <c r="E37" s="2">
        <v>0</v>
      </c>
      <c r="F37" s="4"/>
    </row>
    <row r="38" spans="1:6" ht="37.5" x14ac:dyDescent="0.25">
      <c r="A38" s="190" t="s">
        <v>19</v>
      </c>
      <c r="B38" s="191">
        <v>244</v>
      </c>
      <c r="C38" s="191">
        <v>223</v>
      </c>
      <c r="D38" s="5">
        <f t="shared" ref="D38" si="4">E38+F38</f>
        <v>0</v>
      </c>
      <c r="E38" s="2">
        <v>0</v>
      </c>
      <c r="F38" s="4"/>
    </row>
    <row r="39" spans="1:6" ht="37.5" x14ac:dyDescent="0.25">
      <c r="A39" s="121" t="s">
        <v>19</v>
      </c>
      <c r="B39" s="123">
        <v>247</v>
      </c>
      <c r="C39" s="123">
        <v>223</v>
      </c>
      <c r="D39" s="5">
        <f t="shared" si="0"/>
        <v>0</v>
      </c>
      <c r="E39" s="2">
        <v>0</v>
      </c>
      <c r="F39" s="4"/>
    </row>
    <row r="40" spans="1:6" ht="75" x14ac:dyDescent="0.25">
      <c r="A40" s="190" t="s">
        <v>20</v>
      </c>
      <c r="B40" s="191">
        <v>244</v>
      </c>
      <c r="C40" s="191">
        <v>223</v>
      </c>
      <c r="D40" s="5">
        <f t="shared" ref="D40" si="5">E40+F40</f>
        <v>0</v>
      </c>
      <c r="E40" s="2">
        <v>0</v>
      </c>
      <c r="F40" s="4"/>
    </row>
    <row r="41" spans="1:6" ht="75" x14ac:dyDescent="0.25">
      <c r="A41" s="121" t="s">
        <v>20</v>
      </c>
      <c r="B41" s="123">
        <v>247</v>
      </c>
      <c r="C41" s="123">
        <v>223</v>
      </c>
      <c r="D41" s="5">
        <f t="shared" si="0"/>
        <v>0</v>
      </c>
      <c r="E41" s="2">
        <v>0</v>
      </c>
      <c r="F41" s="4"/>
    </row>
    <row r="42" spans="1:6" ht="75" x14ac:dyDescent="0.25">
      <c r="A42" s="121" t="s">
        <v>21</v>
      </c>
      <c r="B42" s="123">
        <v>244</v>
      </c>
      <c r="C42" s="123">
        <v>223</v>
      </c>
      <c r="D42" s="5">
        <f t="shared" si="0"/>
        <v>0</v>
      </c>
      <c r="E42" s="2">
        <v>0</v>
      </c>
      <c r="F42" s="4"/>
    </row>
    <row r="43" spans="1:6" ht="56.25" x14ac:dyDescent="0.25">
      <c r="A43" s="121" t="s">
        <v>22</v>
      </c>
      <c r="B43" s="123">
        <v>244</v>
      </c>
      <c r="C43" s="123">
        <v>223</v>
      </c>
      <c r="D43" s="5">
        <f t="shared" si="0"/>
        <v>0</v>
      </c>
      <c r="E43" s="2">
        <v>0</v>
      </c>
      <c r="F43" s="4"/>
    </row>
    <row r="44" spans="1:6" ht="56.25" x14ac:dyDescent="0.25">
      <c r="A44" s="195" t="s">
        <v>442</v>
      </c>
      <c r="B44" s="196">
        <v>244</v>
      </c>
      <c r="C44" s="196">
        <v>223</v>
      </c>
      <c r="D44" s="5">
        <f t="shared" ref="D44" si="6">E44+F44</f>
        <v>0</v>
      </c>
      <c r="E44" s="2">
        <v>0</v>
      </c>
      <c r="F44" s="4"/>
    </row>
    <row r="45" spans="1:6" ht="145.9" customHeight="1" x14ac:dyDescent="0.25">
      <c r="A45" s="121" t="s">
        <v>23</v>
      </c>
      <c r="B45" s="123">
        <v>244</v>
      </c>
      <c r="C45" s="123">
        <v>224</v>
      </c>
      <c r="D45" s="5">
        <f t="shared" si="0"/>
        <v>0</v>
      </c>
      <c r="E45" s="2">
        <v>0</v>
      </c>
      <c r="F45" s="4"/>
    </row>
    <row r="46" spans="1:6" ht="56.25" x14ac:dyDescent="0.25">
      <c r="A46" s="121" t="s">
        <v>24</v>
      </c>
      <c r="B46" s="123" t="s">
        <v>5</v>
      </c>
      <c r="C46" s="123">
        <v>225</v>
      </c>
      <c r="D46" s="2">
        <f t="shared" ref="D46:F46" si="7">D47+D48</f>
        <v>0</v>
      </c>
      <c r="E46" s="2">
        <f>E47+E48</f>
        <v>0</v>
      </c>
      <c r="F46" s="4">
        <f t="shared" si="7"/>
        <v>0</v>
      </c>
    </row>
    <row r="47" spans="1:6" ht="18.75" x14ac:dyDescent="0.25">
      <c r="A47" s="221" t="s">
        <v>6</v>
      </c>
      <c r="B47" s="123">
        <v>243</v>
      </c>
      <c r="C47" s="123">
        <v>225</v>
      </c>
      <c r="D47" s="5">
        <f t="shared" si="0"/>
        <v>0</v>
      </c>
      <c r="E47" s="2">
        <v>0</v>
      </c>
      <c r="F47" s="4"/>
    </row>
    <row r="48" spans="1:6" ht="18.75" x14ac:dyDescent="0.25">
      <c r="A48" s="221"/>
      <c r="B48" s="123">
        <v>244</v>
      </c>
      <c r="C48" s="123">
        <v>225</v>
      </c>
      <c r="D48" s="5">
        <f t="shared" si="0"/>
        <v>0</v>
      </c>
      <c r="E48" s="2">
        <v>0</v>
      </c>
      <c r="F48" s="4"/>
    </row>
    <row r="49" spans="1:6" ht="37.5" x14ac:dyDescent="0.25">
      <c r="A49" s="121" t="s">
        <v>58</v>
      </c>
      <c r="B49" s="123" t="s">
        <v>5</v>
      </c>
      <c r="C49" s="123">
        <v>226</v>
      </c>
      <c r="D49" s="5">
        <f t="shared" si="0"/>
        <v>194150</v>
      </c>
      <c r="E49" s="2">
        <f>E50+E51+E53+E54+E52</f>
        <v>194150</v>
      </c>
      <c r="F49" s="4">
        <f>F50+F51+F53+F54+F52</f>
        <v>0</v>
      </c>
    </row>
    <row r="50" spans="1:6" ht="18.75" x14ac:dyDescent="0.25">
      <c r="A50" s="221" t="s">
        <v>6</v>
      </c>
      <c r="B50" s="123">
        <v>112</v>
      </c>
      <c r="C50" s="123">
        <v>226</v>
      </c>
      <c r="D50" s="5">
        <f t="shared" si="0"/>
        <v>0</v>
      </c>
      <c r="E50" s="2">
        <v>0</v>
      </c>
      <c r="F50" s="4"/>
    </row>
    <row r="51" spans="1:6" ht="18.75" x14ac:dyDescent="0.25">
      <c r="A51" s="221"/>
      <c r="B51" s="123">
        <v>113</v>
      </c>
      <c r="C51" s="123">
        <v>226</v>
      </c>
      <c r="D51" s="5">
        <f t="shared" si="0"/>
        <v>0</v>
      </c>
      <c r="E51" s="2">
        <v>0</v>
      </c>
      <c r="F51" s="4"/>
    </row>
    <row r="52" spans="1:6" ht="18.75" x14ac:dyDescent="0.25">
      <c r="A52" s="221"/>
      <c r="B52" s="123">
        <v>119</v>
      </c>
      <c r="C52" s="123">
        <v>226</v>
      </c>
      <c r="D52" s="5">
        <f t="shared" si="0"/>
        <v>0</v>
      </c>
      <c r="E52" s="2">
        <v>0</v>
      </c>
      <c r="F52" s="4"/>
    </row>
    <row r="53" spans="1:6" ht="18.75" x14ac:dyDescent="0.25">
      <c r="A53" s="221"/>
      <c r="B53" s="123">
        <v>243</v>
      </c>
      <c r="C53" s="123">
        <v>226</v>
      </c>
      <c r="D53" s="5">
        <f t="shared" si="0"/>
        <v>0</v>
      </c>
      <c r="E53" s="2">
        <v>0</v>
      </c>
      <c r="F53" s="4"/>
    </row>
    <row r="54" spans="1:6" ht="18.75" x14ac:dyDescent="0.25">
      <c r="A54" s="221"/>
      <c r="B54" s="123">
        <v>244</v>
      </c>
      <c r="C54" s="123">
        <v>226</v>
      </c>
      <c r="D54" s="5">
        <f t="shared" si="0"/>
        <v>194150</v>
      </c>
      <c r="E54" s="2">
        <v>194150</v>
      </c>
      <c r="F54" s="4"/>
    </row>
    <row r="55" spans="1:6" ht="18.75" x14ac:dyDescent="0.25">
      <c r="A55" s="121" t="s">
        <v>25</v>
      </c>
      <c r="B55" s="123">
        <v>244</v>
      </c>
      <c r="C55" s="123">
        <v>227</v>
      </c>
      <c r="D55" s="5">
        <f>E55+F55</f>
        <v>0</v>
      </c>
      <c r="E55" s="2">
        <v>0</v>
      </c>
      <c r="F55" s="4"/>
    </row>
    <row r="56" spans="1:6" ht="56.25" x14ac:dyDescent="0.25">
      <c r="A56" s="170" t="s">
        <v>345</v>
      </c>
      <c r="B56" s="171">
        <v>244</v>
      </c>
      <c r="C56" s="171">
        <v>228</v>
      </c>
      <c r="D56" s="5">
        <f>E56+F56</f>
        <v>0</v>
      </c>
      <c r="E56" s="2">
        <v>0</v>
      </c>
      <c r="F56" s="4"/>
    </row>
    <row r="57" spans="1:6" ht="37.5" x14ac:dyDescent="0.25">
      <c r="A57" s="121" t="s">
        <v>26</v>
      </c>
      <c r="B57" s="123" t="s">
        <v>5</v>
      </c>
      <c r="C57" s="123">
        <v>260</v>
      </c>
      <c r="D57" s="5">
        <f t="shared" si="0"/>
        <v>0</v>
      </c>
      <c r="E57" s="2">
        <f>E58+E59+E60+E61+E65</f>
        <v>0</v>
      </c>
      <c r="F57" s="4">
        <f>F59+F61+F65</f>
        <v>0</v>
      </c>
    </row>
    <row r="58" spans="1:6" ht="93.75" x14ac:dyDescent="0.25">
      <c r="A58" s="219" t="s">
        <v>501</v>
      </c>
      <c r="B58" s="220">
        <v>323</v>
      </c>
      <c r="C58" s="220">
        <v>263</v>
      </c>
      <c r="D58" s="5"/>
      <c r="E58" s="2"/>
      <c r="F58" s="4"/>
    </row>
    <row r="59" spans="1:6" ht="112.5" x14ac:dyDescent="0.25">
      <c r="A59" s="121" t="s">
        <v>27</v>
      </c>
      <c r="B59" s="123">
        <v>321</v>
      </c>
      <c r="C59" s="123">
        <v>264</v>
      </c>
      <c r="D59" s="5">
        <f t="shared" si="0"/>
        <v>0</v>
      </c>
      <c r="E59" s="2">
        <v>0</v>
      </c>
      <c r="F59" s="4"/>
    </row>
    <row r="60" spans="1:6" ht="168.75" x14ac:dyDescent="0.25">
      <c r="A60" s="193" t="s">
        <v>441</v>
      </c>
      <c r="B60" s="194">
        <v>119</v>
      </c>
      <c r="C60" s="194">
        <v>265</v>
      </c>
      <c r="D60" s="5">
        <f t="shared" si="0"/>
        <v>0</v>
      </c>
      <c r="E60" s="2">
        <v>0</v>
      </c>
      <c r="F60" s="4"/>
    </row>
    <row r="61" spans="1:6" ht="93.75" x14ac:dyDescent="0.25">
      <c r="A61" s="121" t="s">
        <v>28</v>
      </c>
      <c r="B61" s="123" t="s">
        <v>5</v>
      </c>
      <c r="C61" s="123">
        <v>266</v>
      </c>
      <c r="D61" s="5">
        <f t="shared" si="0"/>
        <v>0</v>
      </c>
      <c r="E61" s="2">
        <f>E62+E63</f>
        <v>0</v>
      </c>
      <c r="F61" s="4">
        <f t="shared" ref="F61" si="8">F62+F63</f>
        <v>0</v>
      </c>
    </row>
    <row r="62" spans="1:6" ht="18.75" x14ac:dyDescent="0.25">
      <c r="A62" s="221" t="s">
        <v>6</v>
      </c>
      <c r="B62" s="123">
        <v>111</v>
      </c>
      <c r="C62" s="123">
        <v>266</v>
      </c>
      <c r="D62" s="5">
        <f t="shared" si="0"/>
        <v>0</v>
      </c>
      <c r="E62" s="2">
        <v>0</v>
      </c>
      <c r="F62" s="4"/>
    </row>
    <row r="63" spans="1:6" ht="18.75" x14ac:dyDescent="0.25">
      <c r="A63" s="221"/>
      <c r="B63" s="123">
        <v>112</v>
      </c>
      <c r="C63" s="123">
        <v>266</v>
      </c>
      <c r="D63" s="5">
        <f t="shared" si="0"/>
        <v>0</v>
      </c>
      <c r="E63" s="2">
        <v>0</v>
      </c>
      <c r="F63" s="4"/>
    </row>
    <row r="64" spans="1:6" ht="18.75" x14ac:dyDescent="0.25">
      <c r="A64" s="219"/>
      <c r="B64" s="220">
        <v>119</v>
      </c>
      <c r="C64" s="220">
        <v>266</v>
      </c>
      <c r="D64" s="5">
        <f t="shared" ref="D64" si="9">E64+F64</f>
        <v>0</v>
      </c>
      <c r="E64" s="2">
        <v>0</v>
      </c>
      <c r="F64" s="4"/>
    </row>
    <row r="65" spans="1:6" ht="75" x14ac:dyDescent="0.25">
      <c r="A65" s="121" t="s">
        <v>29</v>
      </c>
      <c r="B65" s="123">
        <v>112</v>
      </c>
      <c r="C65" s="123">
        <v>267</v>
      </c>
      <c r="D65" s="5">
        <f t="shared" si="0"/>
        <v>0</v>
      </c>
      <c r="E65" s="2">
        <v>0</v>
      </c>
      <c r="F65" s="4"/>
    </row>
    <row r="66" spans="1:6" ht="18.75" x14ac:dyDescent="0.25">
      <c r="A66" s="121" t="s">
        <v>30</v>
      </c>
      <c r="B66" s="123" t="s">
        <v>5</v>
      </c>
      <c r="C66" s="123">
        <v>290</v>
      </c>
      <c r="D66" s="5">
        <f t="shared" si="0"/>
        <v>0</v>
      </c>
      <c r="E66" s="2">
        <f>E68+E72+E73+E74+E75+E82</f>
        <v>0</v>
      </c>
      <c r="F66" s="4">
        <f>F68+F72+F73+F74+F75+F82</f>
        <v>0</v>
      </c>
    </row>
    <row r="67" spans="1:6" ht="18.75" x14ac:dyDescent="0.25">
      <c r="A67" s="121" t="s">
        <v>9</v>
      </c>
      <c r="B67" s="123"/>
      <c r="C67" s="123"/>
      <c r="D67" s="5">
        <f t="shared" si="0"/>
        <v>0</v>
      </c>
      <c r="E67" s="2"/>
      <c r="F67" s="4"/>
    </row>
    <row r="68" spans="1:6" ht="37.5" x14ac:dyDescent="0.25">
      <c r="A68" s="121" t="s">
        <v>31</v>
      </c>
      <c r="B68" s="123" t="s">
        <v>5</v>
      </c>
      <c r="C68" s="123">
        <v>291</v>
      </c>
      <c r="D68" s="5">
        <f t="shared" si="0"/>
        <v>0</v>
      </c>
      <c r="E68" s="2">
        <f t="shared" ref="E68:F68" si="10">E69+E70+E71</f>
        <v>0</v>
      </c>
      <c r="F68" s="4">
        <f t="shared" si="10"/>
        <v>0</v>
      </c>
    </row>
    <row r="69" spans="1:6" ht="18.75" x14ac:dyDescent="0.25">
      <c r="A69" s="221" t="s">
        <v>6</v>
      </c>
      <c r="B69" s="123">
        <v>851</v>
      </c>
      <c r="C69" s="123">
        <v>291</v>
      </c>
      <c r="D69" s="5">
        <f t="shared" si="0"/>
        <v>0</v>
      </c>
      <c r="E69" s="2">
        <v>0</v>
      </c>
      <c r="F69" s="4"/>
    </row>
    <row r="70" spans="1:6" ht="18.75" x14ac:dyDescent="0.25">
      <c r="A70" s="221"/>
      <c r="B70" s="123">
        <v>852</v>
      </c>
      <c r="C70" s="123">
        <v>291</v>
      </c>
      <c r="D70" s="5">
        <f t="shared" si="0"/>
        <v>0</v>
      </c>
      <c r="E70" s="2">
        <v>0</v>
      </c>
      <c r="F70" s="4"/>
    </row>
    <row r="71" spans="1:6" ht="18.75" x14ac:dyDescent="0.25">
      <c r="A71" s="221"/>
      <c r="B71" s="123">
        <v>853</v>
      </c>
      <c r="C71" s="123">
        <v>291</v>
      </c>
      <c r="D71" s="5">
        <f t="shared" si="0"/>
        <v>0</v>
      </c>
      <c r="E71" s="2">
        <v>0</v>
      </c>
      <c r="F71" s="4"/>
    </row>
    <row r="72" spans="1:6" ht="112.5" x14ac:dyDescent="0.25">
      <c r="A72" s="121" t="s">
        <v>32</v>
      </c>
      <c r="B72" s="123">
        <v>853</v>
      </c>
      <c r="C72" s="123">
        <v>292</v>
      </c>
      <c r="D72" s="5">
        <f t="shared" ref="D72:D105" si="11">E72+F72</f>
        <v>0</v>
      </c>
      <c r="E72" s="2">
        <v>0</v>
      </c>
      <c r="F72" s="4">
        <v>0</v>
      </c>
    </row>
    <row r="73" spans="1:6" ht="131.25" x14ac:dyDescent="0.25">
      <c r="A73" s="121" t="s">
        <v>33</v>
      </c>
      <c r="B73" s="123">
        <v>853</v>
      </c>
      <c r="C73" s="123">
        <v>293</v>
      </c>
      <c r="D73" s="5">
        <f t="shared" si="11"/>
        <v>0</v>
      </c>
      <c r="E73" s="2">
        <v>0</v>
      </c>
      <c r="F73" s="4">
        <v>0</v>
      </c>
    </row>
    <row r="74" spans="1:6" ht="56.25" x14ac:dyDescent="0.25">
      <c r="A74" s="121" t="s">
        <v>158</v>
      </c>
      <c r="B74" s="123">
        <v>853</v>
      </c>
      <c r="C74" s="123">
        <v>295</v>
      </c>
      <c r="D74" s="5">
        <f t="shared" si="11"/>
        <v>0</v>
      </c>
      <c r="E74" s="2">
        <v>0</v>
      </c>
      <c r="F74" s="4">
        <v>0</v>
      </c>
    </row>
    <row r="75" spans="1:6" ht="56.25" x14ac:dyDescent="0.25">
      <c r="A75" s="121" t="s">
        <v>34</v>
      </c>
      <c r="B75" s="123" t="s">
        <v>5</v>
      </c>
      <c r="C75" s="123">
        <v>296</v>
      </c>
      <c r="D75" s="5">
        <f t="shared" si="11"/>
        <v>0</v>
      </c>
      <c r="E75" s="2">
        <f>E76+E77+E78+E79+E81</f>
        <v>0</v>
      </c>
      <c r="F75" s="4">
        <f t="shared" ref="F75" si="12">F76+F77+F78+F79+F81</f>
        <v>0</v>
      </c>
    </row>
    <row r="76" spans="1:6" ht="18.75" x14ac:dyDescent="0.25">
      <c r="A76" s="221" t="s">
        <v>6</v>
      </c>
      <c r="B76" s="123">
        <v>244</v>
      </c>
      <c r="C76" s="123">
        <v>296</v>
      </c>
      <c r="D76" s="5">
        <f t="shared" si="11"/>
        <v>0</v>
      </c>
      <c r="E76" s="2">
        <v>0</v>
      </c>
      <c r="F76" s="4"/>
    </row>
    <row r="77" spans="1:6" ht="18.75" x14ac:dyDescent="0.25">
      <c r="A77" s="221"/>
      <c r="B77" s="123">
        <v>340</v>
      </c>
      <c r="C77" s="123">
        <v>296</v>
      </c>
      <c r="D77" s="5">
        <f t="shared" si="11"/>
        <v>0</v>
      </c>
      <c r="E77" s="2">
        <v>0</v>
      </c>
      <c r="F77" s="4"/>
    </row>
    <row r="78" spans="1:6" ht="18.75" x14ac:dyDescent="0.25">
      <c r="A78" s="221"/>
      <c r="B78" s="123">
        <v>350</v>
      </c>
      <c r="C78" s="123">
        <v>296</v>
      </c>
      <c r="D78" s="5">
        <f t="shared" si="11"/>
        <v>0</v>
      </c>
      <c r="E78" s="2">
        <v>0</v>
      </c>
      <c r="F78" s="4"/>
    </row>
    <row r="79" spans="1:6" ht="18.75" x14ac:dyDescent="0.25">
      <c r="A79" s="221"/>
      <c r="B79" s="123">
        <v>360</v>
      </c>
      <c r="C79" s="123">
        <v>296</v>
      </c>
      <c r="D79" s="5">
        <f t="shared" si="11"/>
        <v>0</v>
      </c>
      <c r="E79" s="2">
        <v>0</v>
      </c>
      <c r="F79" s="4"/>
    </row>
    <row r="80" spans="1:6" ht="18.75" x14ac:dyDescent="0.25">
      <c r="A80" s="221"/>
      <c r="B80" s="215">
        <v>831</v>
      </c>
      <c r="C80" s="215">
        <v>296</v>
      </c>
      <c r="D80" s="5">
        <f t="shared" ref="D80" si="13">E80+F80</f>
        <v>0</v>
      </c>
      <c r="E80" s="2">
        <v>0</v>
      </c>
      <c r="F80" s="4"/>
    </row>
    <row r="81" spans="1:6" ht="18.75" x14ac:dyDescent="0.25">
      <c r="A81" s="221"/>
      <c r="B81" s="123">
        <v>853</v>
      </c>
      <c r="C81" s="123">
        <v>296</v>
      </c>
      <c r="D81" s="5">
        <f t="shared" si="11"/>
        <v>0</v>
      </c>
      <c r="E81" s="2">
        <v>0</v>
      </c>
      <c r="F81" s="4"/>
    </row>
    <row r="82" spans="1:6" ht="62.45" customHeight="1" x14ac:dyDescent="0.25">
      <c r="A82" s="121" t="s">
        <v>35</v>
      </c>
      <c r="B82" s="123" t="s">
        <v>5</v>
      </c>
      <c r="C82" s="123">
        <v>297</v>
      </c>
      <c r="D82" s="5">
        <f>E82+F82</f>
        <v>0</v>
      </c>
      <c r="E82" s="5">
        <f>E83+E84+E85+E86</f>
        <v>0</v>
      </c>
      <c r="F82" s="4">
        <f>F83+F85+F86</f>
        <v>0</v>
      </c>
    </row>
    <row r="83" spans="1:6" ht="18.75" x14ac:dyDescent="0.25">
      <c r="A83" s="221" t="s">
        <v>6</v>
      </c>
      <c r="B83" s="123">
        <v>244</v>
      </c>
      <c r="C83" s="123">
        <v>297</v>
      </c>
      <c r="D83" s="5">
        <f>E83+F83</f>
        <v>0</v>
      </c>
      <c r="E83" s="2">
        <v>0</v>
      </c>
      <c r="F83" s="4"/>
    </row>
    <row r="84" spans="1:6" ht="18.75" x14ac:dyDescent="0.25">
      <c r="A84" s="221"/>
      <c r="B84" s="217">
        <v>613</v>
      </c>
      <c r="C84" s="217">
        <v>297</v>
      </c>
      <c r="D84" s="5">
        <f>E84+F84</f>
        <v>0</v>
      </c>
      <c r="E84" s="2">
        <v>0</v>
      </c>
      <c r="F84" s="4"/>
    </row>
    <row r="85" spans="1:6" ht="18.75" x14ac:dyDescent="0.25">
      <c r="A85" s="221"/>
      <c r="B85" s="192">
        <v>831</v>
      </c>
      <c r="C85" s="192">
        <v>297</v>
      </c>
      <c r="D85" s="5">
        <f>E85+F85</f>
        <v>0</v>
      </c>
      <c r="E85" s="2">
        <v>0</v>
      </c>
      <c r="F85" s="4"/>
    </row>
    <row r="86" spans="1:6" ht="18.75" x14ac:dyDescent="0.25">
      <c r="A86" s="221"/>
      <c r="B86" s="123">
        <v>853</v>
      </c>
      <c r="C86" s="123">
        <v>297</v>
      </c>
      <c r="D86" s="5">
        <f t="shared" si="11"/>
        <v>0</v>
      </c>
      <c r="E86" s="2">
        <v>0</v>
      </c>
      <c r="F86" s="4"/>
    </row>
    <row r="87" spans="1:6" ht="56.25" x14ac:dyDescent="0.25">
      <c r="A87" s="121" t="s">
        <v>59</v>
      </c>
      <c r="B87" s="123" t="s">
        <v>5</v>
      </c>
      <c r="C87" s="123">
        <v>300</v>
      </c>
      <c r="D87" s="5">
        <f t="shared" si="11"/>
        <v>2025779.9000000001</v>
      </c>
      <c r="E87" s="2">
        <f>E89+E91+E90</f>
        <v>2025779.9000000001</v>
      </c>
      <c r="F87" s="4">
        <f>F89+F91+F90</f>
        <v>0</v>
      </c>
    </row>
    <row r="88" spans="1:6" ht="18.75" x14ac:dyDescent="0.25">
      <c r="A88" s="121" t="s">
        <v>9</v>
      </c>
      <c r="B88" s="123"/>
      <c r="C88" s="123"/>
      <c r="D88" s="5"/>
      <c r="E88" s="2"/>
      <c r="F88" s="4"/>
    </row>
    <row r="89" spans="1:6" ht="56.25" x14ac:dyDescent="0.25">
      <c r="A89" s="121" t="s">
        <v>36</v>
      </c>
      <c r="B89" s="123">
        <v>244</v>
      </c>
      <c r="C89" s="123">
        <v>310</v>
      </c>
      <c r="D89" s="5">
        <f t="shared" si="11"/>
        <v>2025779.9000000001</v>
      </c>
      <c r="E89" s="2">
        <f>2369333.33-343553.43</f>
        <v>2025779.9000000001</v>
      </c>
      <c r="F89" s="4"/>
    </row>
    <row r="90" spans="1:6" ht="75" x14ac:dyDescent="0.25">
      <c r="A90" s="121" t="s">
        <v>68</v>
      </c>
      <c r="B90" s="123">
        <v>244</v>
      </c>
      <c r="C90" s="123">
        <v>320</v>
      </c>
      <c r="D90" s="5">
        <f t="shared" si="11"/>
        <v>0</v>
      </c>
      <c r="E90" s="2">
        <v>0</v>
      </c>
      <c r="F90" s="4"/>
    </row>
    <row r="91" spans="1:6" ht="75" x14ac:dyDescent="0.25">
      <c r="A91" s="121" t="s">
        <v>60</v>
      </c>
      <c r="B91" s="123" t="s">
        <v>5</v>
      </c>
      <c r="C91" s="123">
        <v>340</v>
      </c>
      <c r="D91" s="5">
        <f t="shared" si="11"/>
        <v>0</v>
      </c>
      <c r="E91" s="2">
        <f>E93+E94+E95+E96+E97+E98+E99+E100</f>
        <v>0</v>
      </c>
      <c r="F91" s="4">
        <f>F93+F94+F95+F96+F97+F98+F100</f>
        <v>0</v>
      </c>
    </row>
    <row r="92" spans="1:6" ht="18.75" x14ac:dyDescent="0.25">
      <c r="A92" s="121" t="s">
        <v>6</v>
      </c>
      <c r="B92" s="123"/>
      <c r="C92" s="123"/>
      <c r="D92" s="5"/>
      <c r="E92" s="2"/>
      <c r="F92" s="4"/>
    </row>
    <row r="93" spans="1:6" ht="131.25" x14ac:dyDescent="0.25">
      <c r="A93" s="121" t="s">
        <v>37</v>
      </c>
      <c r="B93" s="123">
        <v>244</v>
      </c>
      <c r="C93" s="123">
        <v>341</v>
      </c>
      <c r="D93" s="5">
        <f t="shared" si="11"/>
        <v>0</v>
      </c>
      <c r="E93" s="2">
        <v>0</v>
      </c>
      <c r="F93" s="4"/>
    </row>
    <row r="94" spans="1:6" ht="56.25" x14ac:dyDescent="0.25">
      <c r="A94" s="121" t="s">
        <v>38</v>
      </c>
      <c r="B94" s="123">
        <v>244</v>
      </c>
      <c r="C94" s="123">
        <v>342</v>
      </c>
      <c r="D94" s="5">
        <f t="shared" si="11"/>
        <v>0</v>
      </c>
      <c r="E94" s="2">
        <v>0</v>
      </c>
      <c r="F94" s="4"/>
    </row>
    <row r="95" spans="1:6" ht="75" x14ac:dyDescent="0.25">
      <c r="A95" s="121" t="s">
        <v>39</v>
      </c>
      <c r="B95" s="123">
        <v>244</v>
      </c>
      <c r="C95" s="123">
        <v>343</v>
      </c>
      <c r="D95" s="5">
        <f t="shared" si="11"/>
        <v>0</v>
      </c>
      <c r="E95" s="2">
        <v>0</v>
      </c>
      <c r="F95" s="4"/>
    </row>
    <row r="96" spans="1:6" ht="75" x14ac:dyDescent="0.25">
      <c r="A96" s="121" t="s">
        <v>40</v>
      </c>
      <c r="B96" s="123">
        <v>244</v>
      </c>
      <c r="C96" s="123">
        <v>344</v>
      </c>
      <c r="D96" s="5">
        <f t="shared" si="11"/>
        <v>0</v>
      </c>
      <c r="E96" s="2">
        <v>0</v>
      </c>
      <c r="F96" s="4"/>
    </row>
    <row r="97" spans="1:6" ht="56.25" x14ac:dyDescent="0.25">
      <c r="A97" s="121" t="s">
        <v>41</v>
      </c>
      <c r="B97" s="123">
        <v>244</v>
      </c>
      <c r="C97" s="123">
        <v>345</v>
      </c>
      <c r="D97" s="5">
        <f t="shared" si="11"/>
        <v>0</v>
      </c>
      <c r="E97" s="2">
        <v>0</v>
      </c>
      <c r="F97" s="4"/>
    </row>
    <row r="98" spans="1:6" ht="75" x14ac:dyDescent="0.25">
      <c r="A98" s="121" t="s">
        <v>42</v>
      </c>
      <c r="B98" s="123">
        <v>244</v>
      </c>
      <c r="C98" s="123">
        <v>346</v>
      </c>
      <c r="D98" s="5">
        <f>E98+F98</f>
        <v>0</v>
      </c>
      <c r="E98" s="2">
        <v>0</v>
      </c>
      <c r="F98" s="4"/>
    </row>
    <row r="99" spans="1:6" ht="112.5" x14ac:dyDescent="0.25">
      <c r="A99" s="170" t="s">
        <v>346</v>
      </c>
      <c r="B99" s="171">
        <v>244</v>
      </c>
      <c r="C99" s="171">
        <v>347</v>
      </c>
      <c r="D99" s="5">
        <f>E99+F99</f>
        <v>0</v>
      </c>
      <c r="E99" s="2">
        <v>0</v>
      </c>
      <c r="F99" s="4"/>
    </row>
    <row r="100" spans="1:6" ht="112.5" x14ac:dyDescent="0.25">
      <c r="A100" s="121" t="s">
        <v>43</v>
      </c>
      <c r="B100" s="123">
        <v>244</v>
      </c>
      <c r="C100" s="123">
        <v>349</v>
      </c>
      <c r="D100" s="5">
        <f t="shared" si="11"/>
        <v>0</v>
      </c>
      <c r="E100" s="2">
        <v>0</v>
      </c>
      <c r="F100" s="4"/>
    </row>
    <row r="101" spans="1:6" ht="56.25" x14ac:dyDescent="0.25">
      <c r="A101" s="121" t="s">
        <v>67</v>
      </c>
      <c r="B101" s="123" t="s">
        <v>5</v>
      </c>
      <c r="C101" s="123" t="s">
        <v>5</v>
      </c>
      <c r="D101" s="5">
        <f t="shared" si="11"/>
        <v>0</v>
      </c>
      <c r="E101" s="2">
        <f t="shared" ref="E101:F101" si="14">E103+E104+E105</f>
        <v>0</v>
      </c>
      <c r="F101" s="4">
        <f t="shared" si="14"/>
        <v>0</v>
      </c>
    </row>
    <row r="102" spans="1:6" ht="18.75" x14ac:dyDescent="0.25">
      <c r="A102" s="121" t="s">
        <v>6</v>
      </c>
      <c r="B102" s="123"/>
      <c r="C102" s="123"/>
      <c r="D102" s="5"/>
      <c r="E102" s="2"/>
      <c r="F102" s="4"/>
    </row>
    <row r="103" spans="1:6" ht="18.75" x14ac:dyDescent="0.25">
      <c r="A103" s="121" t="s">
        <v>194</v>
      </c>
      <c r="B103" s="123">
        <v>180</v>
      </c>
      <c r="C103" s="123" t="s">
        <v>5</v>
      </c>
      <c r="D103" s="5">
        <f t="shared" si="11"/>
        <v>0</v>
      </c>
      <c r="E103" s="2">
        <v>0</v>
      </c>
      <c r="F103" s="4"/>
    </row>
    <row r="104" spans="1:6" ht="56.25" x14ac:dyDescent="0.25">
      <c r="A104" s="121" t="s">
        <v>195</v>
      </c>
      <c r="B104" s="123">
        <v>180</v>
      </c>
      <c r="C104" s="123" t="s">
        <v>5</v>
      </c>
      <c r="D104" s="5">
        <f t="shared" si="11"/>
        <v>0</v>
      </c>
      <c r="E104" s="2">
        <v>0</v>
      </c>
      <c r="F104" s="4"/>
    </row>
    <row r="105" spans="1:6" ht="57" thickBot="1" x14ac:dyDescent="0.3">
      <c r="A105" s="32" t="s">
        <v>196</v>
      </c>
      <c r="B105" s="33">
        <v>180</v>
      </c>
      <c r="C105" s="33" t="s">
        <v>5</v>
      </c>
      <c r="D105" s="34">
        <f t="shared" si="11"/>
        <v>0</v>
      </c>
      <c r="E105" s="35">
        <v>0</v>
      </c>
      <c r="F105" s="100"/>
    </row>
    <row r="106" spans="1:6" ht="18.75" x14ac:dyDescent="0.25">
      <c r="A106" s="15"/>
      <c r="B106" s="19"/>
      <c r="C106" s="19"/>
      <c r="D106" s="36"/>
      <c r="E106" s="36"/>
      <c r="F106" s="36"/>
    </row>
    <row r="107" spans="1:6" x14ac:dyDescent="0.25">
      <c r="A107" s="11"/>
    </row>
    <row r="108" spans="1:6" ht="37.5" x14ac:dyDescent="0.3">
      <c r="A108" s="29" t="s">
        <v>52</v>
      </c>
      <c r="B108" s="224"/>
      <c r="C108" s="224"/>
      <c r="D108" s="10"/>
      <c r="E108" s="224" t="s">
        <v>499</v>
      </c>
      <c r="F108" s="224"/>
    </row>
    <row r="109" spans="1:6" ht="18.75" x14ac:dyDescent="0.3">
      <c r="A109" s="29"/>
      <c r="B109" s="223" t="s">
        <v>53</v>
      </c>
      <c r="C109" s="223"/>
      <c r="D109" s="10"/>
      <c r="E109" s="223" t="s">
        <v>54</v>
      </c>
      <c r="F109" s="223"/>
    </row>
    <row r="110" spans="1:6" ht="18.75" x14ac:dyDescent="0.3">
      <c r="A110" s="29"/>
      <c r="B110" s="10"/>
      <c r="C110" s="10"/>
      <c r="D110" s="10"/>
      <c r="E110" s="10"/>
      <c r="F110" s="10"/>
    </row>
    <row r="111" spans="1:6" ht="37.5" x14ac:dyDescent="0.3">
      <c r="A111" s="29" t="s">
        <v>55</v>
      </c>
      <c r="B111" s="224"/>
      <c r="C111" s="224"/>
      <c r="D111" s="10"/>
      <c r="E111" s="224" t="s">
        <v>500</v>
      </c>
      <c r="F111" s="224"/>
    </row>
    <row r="112" spans="1:6" ht="18.75" x14ac:dyDescent="0.3">
      <c r="A112" s="29"/>
      <c r="B112" s="223" t="s">
        <v>53</v>
      </c>
      <c r="C112" s="223"/>
      <c r="D112" s="10"/>
      <c r="E112" s="223" t="s">
        <v>54</v>
      </c>
      <c r="F112" s="223"/>
    </row>
    <row r="113" spans="1:10" ht="18.75" x14ac:dyDescent="0.3">
      <c r="A113" s="29"/>
      <c r="B113" s="47"/>
      <c r="C113" s="47"/>
      <c r="D113" s="10"/>
      <c r="E113" s="47"/>
      <c r="F113" s="47"/>
    </row>
    <row r="114" spans="1:10" ht="18.75" x14ac:dyDescent="0.3">
      <c r="A114" s="29" t="s">
        <v>56</v>
      </c>
      <c r="B114" s="224"/>
      <c r="C114" s="224"/>
      <c r="D114" s="10"/>
      <c r="E114" s="224" t="s">
        <v>500</v>
      </c>
      <c r="F114" s="224"/>
    </row>
    <row r="115" spans="1:10" ht="18.75" x14ac:dyDescent="0.3">
      <c r="A115" s="29"/>
      <c r="B115" s="223" t="s">
        <v>53</v>
      </c>
      <c r="C115" s="223"/>
      <c r="D115" s="10"/>
      <c r="E115" s="223" t="s">
        <v>54</v>
      </c>
      <c r="F115" s="223"/>
    </row>
    <row r="116" spans="1:10" ht="18.75" x14ac:dyDescent="0.3">
      <c r="A116" s="29" t="s">
        <v>57</v>
      </c>
      <c r="B116" s="10"/>
      <c r="C116" s="10"/>
      <c r="D116" s="10"/>
      <c r="E116" s="10"/>
      <c r="F116" s="10"/>
    </row>
    <row r="117" spans="1:10" ht="18.75" x14ac:dyDescent="0.3">
      <c r="A117" s="222" t="s">
        <v>44</v>
      </c>
      <c r="B117" s="222"/>
      <c r="C117" s="10"/>
      <c r="D117" s="10"/>
      <c r="E117" s="10"/>
      <c r="F117" s="10"/>
    </row>
    <row r="118" spans="1:10" ht="18.75" x14ac:dyDescent="0.25">
      <c r="A118" s="225" t="s">
        <v>192</v>
      </c>
      <c r="B118" s="225"/>
      <c r="C118" s="225"/>
      <c r="D118" s="225"/>
      <c r="E118" s="225"/>
      <c r="F118" s="225"/>
    </row>
    <row r="119" spans="1:10" ht="60" x14ac:dyDescent="0.25">
      <c r="A119" s="54" t="s">
        <v>184</v>
      </c>
      <c r="B119" s="58" t="s">
        <v>5</v>
      </c>
      <c r="C119" s="58" t="s">
        <v>5</v>
      </c>
      <c r="D119" s="5">
        <f t="shared" ref="D119:D120" si="15">E119+F119</f>
        <v>0</v>
      </c>
      <c r="E119" s="2"/>
      <c r="F119" s="4"/>
      <c r="H119" s="71" t="s">
        <v>230</v>
      </c>
      <c r="I119" s="71" t="s">
        <v>231</v>
      </c>
      <c r="J119" s="71" t="s">
        <v>232</v>
      </c>
    </row>
    <row r="120" spans="1:10" ht="18.75" x14ac:dyDescent="0.25">
      <c r="A120" s="54" t="s">
        <v>7</v>
      </c>
      <c r="B120" s="58" t="s">
        <v>5</v>
      </c>
      <c r="C120" s="58">
        <v>900</v>
      </c>
      <c r="D120" s="5">
        <f t="shared" si="15"/>
        <v>2219929.9000000004</v>
      </c>
      <c r="E120" s="2">
        <f>E123+E153+E168+E198</f>
        <v>2219929.9000000004</v>
      </c>
      <c r="F120" s="2">
        <f>F123+F153</f>
        <v>0</v>
      </c>
      <c r="H120" s="72">
        <f>E22+E23+E24+E26+E32+E50+E51+E52+E59+E62+E63+E65+E69+E70+E71+E72+E73+E74+E77+E78+E79+E81+E86</f>
        <v>0</v>
      </c>
      <c r="I120" s="72">
        <f>H120+D120</f>
        <v>2219929.9000000004</v>
      </c>
      <c r="J120" s="72">
        <f>I120-E16</f>
        <v>0</v>
      </c>
    </row>
    <row r="121" spans="1:10" ht="18.75" x14ac:dyDescent="0.25">
      <c r="A121" s="54" t="s">
        <v>6</v>
      </c>
      <c r="B121" s="58"/>
      <c r="C121" s="58"/>
      <c r="D121" s="5"/>
      <c r="E121" s="2"/>
      <c r="F121" s="4"/>
    </row>
    <row r="122" spans="1:10" ht="17.45" customHeight="1" x14ac:dyDescent="0.25">
      <c r="A122" s="226" t="s">
        <v>200</v>
      </c>
      <c r="B122" s="227"/>
      <c r="C122" s="227"/>
      <c r="D122" s="227"/>
      <c r="E122" s="227"/>
      <c r="F122" s="228"/>
    </row>
    <row r="123" spans="1:10" ht="18.75" x14ac:dyDescent="0.25">
      <c r="A123" s="54" t="s">
        <v>8</v>
      </c>
      <c r="B123" s="58" t="s">
        <v>5</v>
      </c>
      <c r="C123" s="58">
        <v>200</v>
      </c>
      <c r="D123" s="5">
        <f t="shared" ref="D123:D157" si="16">E123+F123</f>
        <v>0</v>
      </c>
      <c r="E123" s="2">
        <f>E125+E128+E149</f>
        <v>0</v>
      </c>
      <c r="F123" s="2">
        <f>F125+F128+F149</f>
        <v>0</v>
      </c>
    </row>
    <row r="124" spans="1:10" ht="18.75" x14ac:dyDescent="0.25">
      <c r="A124" s="54" t="s">
        <v>9</v>
      </c>
      <c r="B124" s="58"/>
      <c r="C124" s="58"/>
      <c r="D124" s="5"/>
      <c r="E124" s="2"/>
      <c r="F124" s="2"/>
    </row>
    <row r="125" spans="1:10" ht="75" x14ac:dyDescent="0.25">
      <c r="A125" s="54" t="s">
        <v>10</v>
      </c>
      <c r="B125" s="58" t="s">
        <v>5</v>
      </c>
      <c r="C125" s="58">
        <v>210</v>
      </c>
      <c r="D125" s="5">
        <f t="shared" si="16"/>
        <v>0</v>
      </c>
      <c r="E125" s="2">
        <f>E127</f>
        <v>0</v>
      </c>
      <c r="F125" s="2">
        <f>F127</f>
        <v>0</v>
      </c>
    </row>
    <row r="126" spans="1:10" ht="18.75" x14ac:dyDescent="0.25">
      <c r="A126" s="54" t="s">
        <v>9</v>
      </c>
      <c r="B126" s="58"/>
      <c r="C126" s="58"/>
      <c r="D126" s="5"/>
      <c r="E126" s="2"/>
      <c r="F126" s="2"/>
    </row>
    <row r="127" spans="1:10" ht="93.75" x14ac:dyDescent="0.25">
      <c r="A127" s="54" t="s">
        <v>201</v>
      </c>
      <c r="B127" s="58">
        <v>244</v>
      </c>
      <c r="C127" s="58">
        <v>214</v>
      </c>
      <c r="D127" s="5">
        <f>E127+F127</f>
        <v>0</v>
      </c>
      <c r="E127" s="2"/>
      <c r="F127" s="2"/>
    </row>
    <row r="128" spans="1:10" ht="37.5" x14ac:dyDescent="0.25">
      <c r="A128" s="54" t="s">
        <v>14</v>
      </c>
      <c r="B128" s="58" t="s">
        <v>5</v>
      </c>
      <c r="C128" s="58">
        <v>220</v>
      </c>
      <c r="D128" s="5">
        <f t="shared" si="16"/>
        <v>0</v>
      </c>
      <c r="E128" s="2">
        <f>E130+E131+E132+E140+E141+E144+E147</f>
        <v>0</v>
      </c>
      <c r="F128" s="2">
        <f>F130+F131+F132+F140+F141+F144+F147</f>
        <v>0</v>
      </c>
    </row>
    <row r="129" spans="1:6" ht="18.75" x14ac:dyDescent="0.25">
      <c r="A129" s="54" t="s">
        <v>9</v>
      </c>
      <c r="B129" s="58"/>
      <c r="C129" s="58"/>
      <c r="D129" s="5"/>
      <c r="E129" s="2"/>
      <c r="F129" s="2"/>
    </row>
    <row r="130" spans="1:6" ht="18.75" x14ac:dyDescent="0.25">
      <c r="A130" s="54" t="s">
        <v>15</v>
      </c>
      <c r="B130" s="58">
        <v>244</v>
      </c>
      <c r="C130" s="58">
        <v>221</v>
      </c>
      <c r="D130" s="5">
        <f t="shared" si="16"/>
        <v>0</v>
      </c>
      <c r="E130" s="2"/>
      <c r="F130" s="2"/>
    </row>
    <row r="131" spans="1:6" ht="37.5" x14ac:dyDescent="0.25">
      <c r="A131" s="54" t="s">
        <v>16</v>
      </c>
      <c r="B131" s="58">
        <v>244</v>
      </c>
      <c r="C131" s="58">
        <v>222</v>
      </c>
      <c r="D131" s="5">
        <f t="shared" si="16"/>
        <v>0</v>
      </c>
      <c r="E131" s="2"/>
      <c r="F131" s="2"/>
    </row>
    <row r="132" spans="1:6" ht="37.5" x14ac:dyDescent="0.25">
      <c r="A132" s="54" t="s">
        <v>17</v>
      </c>
      <c r="B132" s="58" t="s">
        <v>5</v>
      </c>
      <c r="C132" s="58">
        <v>223</v>
      </c>
      <c r="D132" s="5">
        <f t="shared" si="16"/>
        <v>0</v>
      </c>
      <c r="E132" s="2">
        <f t="shared" ref="E132:F132" si="17">E134+E135+E136+E137+E138</f>
        <v>0</v>
      </c>
      <c r="F132" s="2">
        <f t="shared" si="17"/>
        <v>0</v>
      </c>
    </row>
    <row r="133" spans="1:6" ht="18.75" x14ac:dyDescent="0.25">
      <c r="A133" s="54" t="s">
        <v>6</v>
      </c>
      <c r="B133" s="58"/>
      <c r="C133" s="58"/>
      <c r="D133" s="5"/>
      <c r="E133" s="2"/>
      <c r="F133" s="2"/>
    </row>
    <row r="134" spans="1:6" ht="56.25" x14ac:dyDescent="0.25">
      <c r="A134" s="54" t="s">
        <v>18</v>
      </c>
      <c r="B134" s="58">
        <v>244</v>
      </c>
      <c r="C134" s="58">
        <v>223</v>
      </c>
      <c r="D134" s="5">
        <f t="shared" si="16"/>
        <v>0</v>
      </c>
      <c r="E134" s="2"/>
      <c r="F134" s="2"/>
    </row>
    <row r="135" spans="1:6" ht="37.5" x14ac:dyDescent="0.25">
      <c r="A135" s="54" t="s">
        <v>19</v>
      </c>
      <c r="B135" s="58">
        <v>244</v>
      </c>
      <c r="C135" s="58">
        <v>223</v>
      </c>
      <c r="D135" s="5">
        <f t="shared" si="16"/>
        <v>0</v>
      </c>
      <c r="E135" s="2"/>
      <c r="F135" s="2"/>
    </row>
    <row r="136" spans="1:6" ht="75" x14ac:dyDescent="0.25">
      <c r="A136" s="54" t="s">
        <v>20</v>
      </c>
      <c r="B136" s="58">
        <v>244</v>
      </c>
      <c r="C136" s="58">
        <v>223</v>
      </c>
      <c r="D136" s="5">
        <f t="shared" si="16"/>
        <v>0</v>
      </c>
      <c r="E136" s="2"/>
      <c r="F136" s="2"/>
    </row>
    <row r="137" spans="1:6" ht="75" x14ac:dyDescent="0.25">
      <c r="A137" s="54" t="s">
        <v>21</v>
      </c>
      <c r="B137" s="58">
        <v>244</v>
      </c>
      <c r="C137" s="58">
        <v>223</v>
      </c>
      <c r="D137" s="5">
        <f t="shared" si="16"/>
        <v>0</v>
      </c>
      <c r="E137" s="2"/>
      <c r="F137" s="2"/>
    </row>
    <row r="138" spans="1:6" ht="56.25" x14ac:dyDescent="0.25">
      <c r="A138" s="54" t="s">
        <v>22</v>
      </c>
      <c r="B138" s="58">
        <v>244</v>
      </c>
      <c r="C138" s="58">
        <v>223</v>
      </c>
      <c r="D138" s="5">
        <f t="shared" si="16"/>
        <v>0</v>
      </c>
      <c r="E138" s="2"/>
      <c r="F138" s="2"/>
    </row>
    <row r="139" spans="1:6" ht="56.25" x14ac:dyDescent="0.25">
      <c r="A139" s="195" t="s">
        <v>442</v>
      </c>
      <c r="B139" s="196">
        <v>244</v>
      </c>
      <c r="C139" s="196">
        <v>223</v>
      </c>
      <c r="D139" s="5">
        <f t="shared" ref="D139" si="18">E139+F139</f>
        <v>0</v>
      </c>
      <c r="E139" s="2"/>
      <c r="F139" s="2"/>
    </row>
    <row r="140" spans="1:6" ht="168.75" x14ac:dyDescent="0.25">
      <c r="A140" s="54" t="s">
        <v>23</v>
      </c>
      <c r="B140" s="58">
        <v>244</v>
      </c>
      <c r="C140" s="58">
        <v>224</v>
      </c>
      <c r="D140" s="5">
        <f t="shared" si="16"/>
        <v>0</v>
      </c>
      <c r="E140" s="2"/>
      <c r="F140" s="2"/>
    </row>
    <row r="141" spans="1:6" ht="56.25" x14ac:dyDescent="0.25">
      <c r="A141" s="54" t="s">
        <v>24</v>
      </c>
      <c r="B141" s="58" t="s">
        <v>5</v>
      </c>
      <c r="C141" s="58">
        <v>225</v>
      </c>
      <c r="D141" s="2">
        <f t="shared" ref="D141:F141" si="19">D142+D143</f>
        <v>0</v>
      </c>
      <c r="E141" s="2">
        <f>E142+E143</f>
        <v>0</v>
      </c>
      <c r="F141" s="2">
        <f t="shared" si="19"/>
        <v>0</v>
      </c>
    </row>
    <row r="142" spans="1:6" ht="18.75" x14ac:dyDescent="0.25">
      <c r="A142" s="221" t="s">
        <v>6</v>
      </c>
      <c r="B142" s="58">
        <v>243</v>
      </c>
      <c r="C142" s="58">
        <v>225</v>
      </c>
      <c r="D142" s="5">
        <f t="shared" si="16"/>
        <v>0</v>
      </c>
      <c r="E142" s="2"/>
      <c r="F142" s="2"/>
    </row>
    <row r="143" spans="1:6" ht="18.75" x14ac:dyDescent="0.25">
      <c r="A143" s="221"/>
      <c r="B143" s="58">
        <v>244</v>
      </c>
      <c r="C143" s="58">
        <v>225</v>
      </c>
      <c r="D143" s="5">
        <f t="shared" si="16"/>
        <v>0</v>
      </c>
      <c r="E143" s="2"/>
      <c r="F143" s="2"/>
    </row>
    <row r="144" spans="1:6" ht="37.5" x14ac:dyDescent="0.25">
      <c r="A144" s="54" t="s">
        <v>58</v>
      </c>
      <c r="B144" s="58" t="s">
        <v>5</v>
      </c>
      <c r="C144" s="58">
        <v>226</v>
      </c>
      <c r="D144" s="5">
        <f t="shared" si="16"/>
        <v>0</v>
      </c>
      <c r="E144" s="2">
        <f>E145+E146</f>
        <v>0</v>
      </c>
      <c r="F144" s="2">
        <f>F145+F146</f>
        <v>0</v>
      </c>
    </row>
    <row r="145" spans="1:6" ht="18.75" x14ac:dyDescent="0.25">
      <c r="A145" s="221" t="s">
        <v>6</v>
      </c>
      <c r="B145" s="58">
        <v>243</v>
      </c>
      <c r="C145" s="58">
        <v>226</v>
      </c>
      <c r="D145" s="5">
        <f t="shared" si="16"/>
        <v>0</v>
      </c>
      <c r="E145" s="2"/>
      <c r="F145" s="2"/>
    </row>
    <row r="146" spans="1:6" ht="18.75" x14ac:dyDescent="0.25">
      <c r="A146" s="221"/>
      <c r="B146" s="58">
        <v>244</v>
      </c>
      <c r="C146" s="58">
        <v>226</v>
      </c>
      <c r="D146" s="5">
        <f t="shared" si="16"/>
        <v>0</v>
      </c>
      <c r="E146" s="2"/>
      <c r="F146" s="2"/>
    </row>
    <row r="147" spans="1:6" ht="18.75" x14ac:dyDescent="0.25">
      <c r="A147" s="54" t="s">
        <v>25</v>
      </c>
      <c r="B147" s="58">
        <v>244</v>
      </c>
      <c r="C147" s="58">
        <v>227</v>
      </c>
      <c r="D147" s="5">
        <f>E147+F147</f>
        <v>0</v>
      </c>
      <c r="E147" s="2"/>
      <c r="F147" s="2"/>
    </row>
    <row r="148" spans="1:6" ht="56.25" x14ac:dyDescent="0.25">
      <c r="A148" s="170" t="s">
        <v>345</v>
      </c>
      <c r="B148" s="171">
        <v>244</v>
      </c>
      <c r="C148" s="171">
        <v>228</v>
      </c>
      <c r="D148" s="5">
        <f>E148+F148</f>
        <v>0</v>
      </c>
      <c r="E148" s="2"/>
      <c r="F148" s="2"/>
    </row>
    <row r="149" spans="1:6" ht="18.75" x14ac:dyDescent="0.25">
      <c r="A149" s="54" t="s">
        <v>30</v>
      </c>
      <c r="B149" s="58" t="s">
        <v>5</v>
      </c>
      <c r="C149" s="58">
        <v>290</v>
      </c>
      <c r="D149" s="5">
        <f t="shared" si="16"/>
        <v>0</v>
      </c>
      <c r="E149" s="2">
        <f>E151+E152</f>
        <v>0</v>
      </c>
      <c r="F149" s="2">
        <f>F151+F152</f>
        <v>0</v>
      </c>
    </row>
    <row r="150" spans="1:6" ht="18.75" x14ac:dyDescent="0.25">
      <c r="A150" s="54" t="s">
        <v>9</v>
      </c>
      <c r="B150" s="58"/>
      <c r="C150" s="58"/>
      <c r="D150" s="5">
        <f t="shared" si="16"/>
        <v>0</v>
      </c>
      <c r="E150" s="2"/>
      <c r="F150" s="2"/>
    </row>
    <row r="151" spans="1:6" ht="56.25" x14ac:dyDescent="0.25">
      <c r="A151" s="54" t="s">
        <v>34</v>
      </c>
      <c r="B151" s="58">
        <v>244</v>
      </c>
      <c r="C151" s="58">
        <v>296</v>
      </c>
      <c r="D151" s="5">
        <f t="shared" si="16"/>
        <v>0</v>
      </c>
      <c r="E151" s="2"/>
      <c r="F151" s="2"/>
    </row>
    <row r="152" spans="1:6" ht="56.25" x14ac:dyDescent="0.25">
      <c r="A152" s="54" t="s">
        <v>35</v>
      </c>
      <c r="B152" s="58">
        <v>244</v>
      </c>
      <c r="C152" s="58">
        <v>297</v>
      </c>
      <c r="D152" s="5">
        <f t="shared" si="16"/>
        <v>0</v>
      </c>
      <c r="E152" s="2"/>
      <c r="F152" s="2"/>
    </row>
    <row r="153" spans="1:6" ht="56.25" x14ac:dyDescent="0.25">
      <c r="A153" s="54" t="s">
        <v>59</v>
      </c>
      <c r="B153" s="58" t="s">
        <v>5</v>
      </c>
      <c r="C153" s="58">
        <v>300</v>
      </c>
      <c r="D153" s="5">
        <f t="shared" si="16"/>
        <v>0</v>
      </c>
      <c r="E153" s="2">
        <f>E155+E157+E156</f>
        <v>0</v>
      </c>
      <c r="F153" s="2">
        <f>F155+F157+F156</f>
        <v>0</v>
      </c>
    </row>
    <row r="154" spans="1:6" ht="18.75" x14ac:dyDescent="0.25">
      <c r="A154" s="54" t="s">
        <v>9</v>
      </c>
      <c r="B154" s="58"/>
      <c r="C154" s="58"/>
      <c r="D154" s="5"/>
      <c r="E154" s="2"/>
      <c r="F154" s="2"/>
    </row>
    <row r="155" spans="1:6" ht="56.25" x14ac:dyDescent="0.25">
      <c r="A155" s="54" t="s">
        <v>36</v>
      </c>
      <c r="B155" s="58">
        <v>244</v>
      </c>
      <c r="C155" s="58">
        <v>310</v>
      </c>
      <c r="D155" s="5">
        <f t="shared" si="16"/>
        <v>0</v>
      </c>
      <c r="E155" s="2"/>
      <c r="F155" s="2"/>
    </row>
    <row r="156" spans="1:6" ht="75" x14ac:dyDescent="0.25">
      <c r="A156" s="54" t="s">
        <v>68</v>
      </c>
      <c r="B156" s="58">
        <v>244</v>
      </c>
      <c r="C156" s="58">
        <v>320</v>
      </c>
      <c r="D156" s="5">
        <f t="shared" si="16"/>
        <v>0</v>
      </c>
      <c r="E156" s="2"/>
      <c r="F156" s="2"/>
    </row>
    <row r="157" spans="1:6" ht="75" x14ac:dyDescent="0.25">
      <c r="A157" s="54" t="s">
        <v>60</v>
      </c>
      <c r="B157" s="58" t="s">
        <v>5</v>
      </c>
      <c r="C157" s="58">
        <v>340</v>
      </c>
      <c r="D157" s="5">
        <f t="shared" si="16"/>
        <v>0</v>
      </c>
      <c r="E157" s="2">
        <f>E159+E160+E161+E162+E163+E164+E166</f>
        <v>0</v>
      </c>
      <c r="F157" s="2">
        <f>F159+F160+F161+F162+F163+F164+F166</f>
        <v>0</v>
      </c>
    </row>
    <row r="158" spans="1:6" ht="18.75" x14ac:dyDescent="0.25">
      <c r="A158" s="54" t="s">
        <v>6</v>
      </c>
      <c r="B158" s="58"/>
      <c r="C158" s="58"/>
      <c r="D158" s="5"/>
      <c r="E158" s="2"/>
      <c r="F158" s="2"/>
    </row>
    <row r="159" spans="1:6" ht="131.25" x14ac:dyDescent="0.25">
      <c r="A159" s="54" t="s">
        <v>37</v>
      </c>
      <c r="B159" s="58">
        <v>244</v>
      </c>
      <c r="C159" s="58">
        <v>341</v>
      </c>
      <c r="D159" s="5">
        <f t="shared" ref="D159:D166" si="20">E159+F159</f>
        <v>0</v>
      </c>
      <c r="E159" s="2"/>
      <c r="F159" s="2"/>
    </row>
    <row r="160" spans="1:6" ht="56.25" x14ac:dyDescent="0.25">
      <c r="A160" s="54" t="s">
        <v>38</v>
      </c>
      <c r="B160" s="58">
        <v>244</v>
      </c>
      <c r="C160" s="58">
        <v>342</v>
      </c>
      <c r="D160" s="5">
        <f t="shared" si="20"/>
        <v>0</v>
      </c>
      <c r="E160" s="2"/>
      <c r="F160" s="2"/>
    </row>
    <row r="161" spans="1:6" ht="75" x14ac:dyDescent="0.25">
      <c r="A161" s="54" t="s">
        <v>39</v>
      </c>
      <c r="B161" s="58">
        <v>244</v>
      </c>
      <c r="C161" s="58">
        <v>343</v>
      </c>
      <c r="D161" s="5">
        <f t="shared" si="20"/>
        <v>0</v>
      </c>
      <c r="E161" s="2"/>
      <c r="F161" s="2"/>
    </row>
    <row r="162" spans="1:6" ht="75" x14ac:dyDescent="0.25">
      <c r="A162" s="54" t="s">
        <v>40</v>
      </c>
      <c r="B162" s="58">
        <v>244</v>
      </c>
      <c r="C162" s="58">
        <v>344</v>
      </c>
      <c r="D162" s="5">
        <f t="shared" si="20"/>
        <v>0</v>
      </c>
      <c r="E162" s="2"/>
      <c r="F162" s="2"/>
    </row>
    <row r="163" spans="1:6" ht="56.25" x14ac:dyDescent="0.25">
      <c r="A163" s="54" t="s">
        <v>41</v>
      </c>
      <c r="B163" s="58">
        <v>244</v>
      </c>
      <c r="C163" s="58">
        <v>345</v>
      </c>
      <c r="D163" s="5">
        <f t="shared" si="20"/>
        <v>0</v>
      </c>
      <c r="E163" s="2"/>
      <c r="F163" s="2"/>
    </row>
    <row r="164" spans="1:6" ht="75" x14ac:dyDescent="0.25">
      <c r="A164" s="54" t="s">
        <v>42</v>
      </c>
      <c r="B164" s="58">
        <v>244</v>
      </c>
      <c r="C164" s="58">
        <v>346</v>
      </c>
      <c r="D164" s="5">
        <f t="shared" si="20"/>
        <v>0</v>
      </c>
      <c r="E164" s="2"/>
      <c r="F164" s="2"/>
    </row>
    <row r="165" spans="1:6" ht="112.5" x14ac:dyDescent="0.25">
      <c r="A165" s="170" t="s">
        <v>346</v>
      </c>
      <c r="B165" s="171">
        <v>244</v>
      </c>
      <c r="C165" s="171">
        <v>347</v>
      </c>
      <c r="D165" s="5">
        <f t="shared" si="20"/>
        <v>0</v>
      </c>
      <c r="E165" s="2"/>
      <c r="F165" s="2"/>
    </row>
    <row r="166" spans="1:6" ht="112.5" x14ac:dyDescent="0.25">
      <c r="A166" s="54" t="s">
        <v>43</v>
      </c>
      <c r="B166" s="58">
        <v>244</v>
      </c>
      <c r="C166" s="58">
        <v>349</v>
      </c>
      <c r="D166" s="5">
        <f t="shared" si="20"/>
        <v>0</v>
      </c>
      <c r="E166" s="2"/>
      <c r="F166" s="2"/>
    </row>
    <row r="167" spans="1:6" ht="17.45" customHeight="1" x14ac:dyDescent="0.25">
      <c r="A167" s="226" t="s">
        <v>202</v>
      </c>
      <c r="B167" s="227"/>
      <c r="C167" s="227"/>
      <c r="D167" s="227"/>
      <c r="E167" s="227"/>
      <c r="F167" s="228"/>
    </row>
    <row r="168" spans="1:6" ht="18.75" x14ac:dyDescent="0.25">
      <c r="A168" s="54" t="s">
        <v>8</v>
      </c>
      <c r="B168" s="58" t="s">
        <v>5</v>
      </c>
      <c r="C168" s="58">
        <v>200</v>
      </c>
      <c r="D168" s="5">
        <f t="shared" ref="D168" si="21">E168+F168</f>
        <v>194150</v>
      </c>
      <c r="E168" s="2">
        <f>E170+E173+E194</f>
        <v>194150</v>
      </c>
      <c r="F168" s="2">
        <f>F170+F173+F194</f>
        <v>0</v>
      </c>
    </row>
    <row r="169" spans="1:6" ht="18.75" x14ac:dyDescent="0.25">
      <c r="A169" s="54" t="s">
        <v>9</v>
      </c>
      <c r="B169" s="58"/>
      <c r="C169" s="58"/>
      <c r="D169" s="5"/>
      <c r="E169" s="2"/>
      <c r="F169" s="2"/>
    </row>
    <row r="170" spans="1:6" ht="75" x14ac:dyDescent="0.25">
      <c r="A170" s="54" t="s">
        <v>10</v>
      </c>
      <c r="B170" s="58" t="s">
        <v>5</v>
      </c>
      <c r="C170" s="58">
        <v>210</v>
      </c>
      <c r="D170" s="5">
        <f t="shared" ref="D170" si="22">E170+F170</f>
        <v>0</v>
      </c>
      <c r="E170" s="2">
        <f>E172</f>
        <v>0</v>
      </c>
      <c r="F170" s="2">
        <f>F172</f>
        <v>0</v>
      </c>
    </row>
    <row r="171" spans="1:6" ht="18.75" x14ac:dyDescent="0.25">
      <c r="A171" s="54" t="s">
        <v>9</v>
      </c>
      <c r="B171" s="58"/>
      <c r="C171" s="58"/>
      <c r="D171" s="5"/>
      <c r="E171" s="2"/>
      <c r="F171" s="2"/>
    </row>
    <row r="172" spans="1:6" ht="93.75" x14ac:dyDescent="0.25">
      <c r="A172" s="54" t="s">
        <v>201</v>
      </c>
      <c r="B172" s="58">
        <v>244</v>
      </c>
      <c r="C172" s="58">
        <v>214</v>
      </c>
      <c r="D172" s="5">
        <f>E172+F172</f>
        <v>0</v>
      </c>
      <c r="E172" s="70">
        <f>E27-E127</f>
        <v>0</v>
      </c>
      <c r="F172" s="2"/>
    </row>
    <row r="173" spans="1:6" ht="37.5" x14ac:dyDescent="0.25">
      <c r="A173" s="54" t="s">
        <v>14</v>
      </c>
      <c r="B173" s="58" t="s">
        <v>5</v>
      </c>
      <c r="C173" s="58">
        <v>220</v>
      </c>
      <c r="D173" s="5">
        <f t="shared" ref="D173" si="23">E173+F173</f>
        <v>194150</v>
      </c>
      <c r="E173" s="2">
        <f>E175+E176+E177+E185+E186+E189+E192+E193</f>
        <v>194150</v>
      </c>
      <c r="F173" s="2">
        <f>F175+F176+F177+F185+F186+F189+F192</f>
        <v>0</v>
      </c>
    </row>
    <row r="174" spans="1:6" ht="18.75" x14ac:dyDescent="0.25">
      <c r="A174" s="54" t="s">
        <v>9</v>
      </c>
      <c r="B174" s="58"/>
      <c r="C174" s="58"/>
      <c r="D174" s="5"/>
      <c r="E174" s="2"/>
      <c r="F174" s="2"/>
    </row>
    <row r="175" spans="1:6" ht="18.75" x14ac:dyDescent="0.25">
      <c r="A175" s="54" t="s">
        <v>15</v>
      </c>
      <c r="B175" s="58">
        <v>244</v>
      </c>
      <c r="C175" s="58">
        <v>221</v>
      </c>
      <c r="D175" s="5">
        <f t="shared" ref="D175:D177" si="24">E175+F175</f>
        <v>0</v>
      </c>
      <c r="E175" s="2">
        <f>E30-E130</f>
        <v>0</v>
      </c>
      <c r="F175" s="2"/>
    </row>
    <row r="176" spans="1:6" ht="37.5" x14ac:dyDescent="0.25">
      <c r="A176" s="54" t="s">
        <v>16</v>
      </c>
      <c r="B176" s="58">
        <v>244</v>
      </c>
      <c r="C176" s="58">
        <v>222</v>
      </c>
      <c r="D176" s="5">
        <f t="shared" si="24"/>
        <v>0</v>
      </c>
      <c r="E176" s="70">
        <f>E33-E131</f>
        <v>0</v>
      </c>
      <c r="F176" s="2"/>
    </row>
    <row r="177" spans="1:6" ht="37.5" x14ac:dyDescent="0.25">
      <c r="A177" s="54" t="s">
        <v>17</v>
      </c>
      <c r="B177" s="58" t="s">
        <v>5</v>
      </c>
      <c r="C177" s="58">
        <v>223</v>
      </c>
      <c r="D177" s="5">
        <f t="shared" si="24"/>
        <v>0</v>
      </c>
      <c r="E177" s="2">
        <f t="shared" ref="E177:F177" si="25">E179+E180+E181+E182+E183</f>
        <v>0</v>
      </c>
      <c r="F177" s="2">
        <f t="shared" si="25"/>
        <v>0</v>
      </c>
    </row>
    <row r="178" spans="1:6" ht="18.75" x14ac:dyDescent="0.25">
      <c r="A178" s="54" t="s">
        <v>6</v>
      </c>
      <c r="B178" s="58"/>
      <c r="C178" s="58"/>
      <c r="D178" s="5"/>
      <c r="E178" s="2"/>
      <c r="F178" s="2"/>
    </row>
    <row r="179" spans="1:6" ht="56.25" x14ac:dyDescent="0.25">
      <c r="A179" s="54" t="s">
        <v>18</v>
      </c>
      <c r="B179" s="58">
        <v>244</v>
      </c>
      <c r="C179" s="58">
        <v>223</v>
      </c>
      <c r="D179" s="5">
        <f t="shared" ref="D179:D185" si="26">E179+F179</f>
        <v>0</v>
      </c>
      <c r="E179" s="2">
        <f>E37-E134</f>
        <v>0</v>
      </c>
      <c r="F179" s="2"/>
    </row>
    <row r="180" spans="1:6" ht="37.5" x14ac:dyDescent="0.25">
      <c r="A180" s="54" t="s">
        <v>19</v>
      </c>
      <c r="B180" s="58">
        <v>244</v>
      </c>
      <c r="C180" s="58">
        <v>223</v>
      </c>
      <c r="D180" s="5">
        <f t="shared" si="26"/>
        <v>0</v>
      </c>
      <c r="E180" s="2">
        <f>E39-E135</f>
        <v>0</v>
      </c>
      <c r="F180" s="2"/>
    </row>
    <row r="181" spans="1:6" ht="75" x14ac:dyDescent="0.25">
      <c r="A181" s="54" t="s">
        <v>20</v>
      </c>
      <c r="B181" s="58">
        <v>244</v>
      </c>
      <c r="C181" s="58">
        <v>223</v>
      </c>
      <c r="D181" s="5">
        <f t="shared" si="26"/>
        <v>0</v>
      </c>
      <c r="E181" s="2">
        <f>E41-E136</f>
        <v>0</v>
      </c>
      <c r="F181" s="2"/>
    </row>
    <row r="182" spans="1:6" ht="75" x14ac:dyDescent="0.25">
      <c r="A182" s="54" t="s">
        <v>21</v>
      </c>
      <c r="B182" s="58">
        <v>244</v>
      </c>
      <c r="C182" s="58">
        <v>223</v>
      </c>
      <c r="D182" s="5">
        <f t="shared" si="26"/>
        <v>0</v>
      </c>
      <c r="E182" s="2">
        <f>E42-E137</f>
        <v>0</v>
      </c>
      <c r="F182" s="2"/>
    </row>
    <row r="183" spans="1:6" ht="56.25" x14ac:dyDescent="0.25">
      <c r="A183" s="54" t="s">
        <v>22</v>
      </c>
      <c r="B183" s="58">
        <v>244</v>
      </c>
      <c r="C183" s="58">
        <v>223</v>
      </c>
      <c r="D183" s="5">
        <f t="shared" si="26"/>
        <v>0</v>
      </c>
      <c r="E183" s="2">
        <f>E43-E138</f>
        <v>0</v>
      </c>
      <c r="F183" s="2"/>
    </row>
    <row r="184" spans="1:6" ht="56.25" x14ac:dyDescent="0.25">
      <c r="A184" s="195" t="s">
        <v>442</v>
      </c>
      <c r="B184" s="196">
        <v>244</v>
      </c>
      <c r="C184" s="196">
        <v>223</v>
      </c>
      <c r="D184" s="5">
        <f t="shared" ref="D184" si="27">E184+F184</f>
        <v>0</v>
      </c>
      <c r="E184" s="2">
        <f>E44-E139</f>
        <v>0</v>
      </c>
      <c r="F184" s="2"/>
    </row>
    <row r="185" spans="1:6" ht="168.75" x14ac:dyDescent="0.25">
      <c r="A185" s="54" t="s">
        <v>23</v>
      </c>
      <c r="B185" s="58">
        <v>244</v>
      </c>
      <c r="C185" s="58">
        <v>224</v>
      </c>
      <c r="D185" s="5">
        <f t="shared" si="26"/>
        <v>0</v>
      </c>
      <c r="E185" s="2">
        <f>E45-E140</f>
        <v>0</v>
      </c>
      <c r="F185" s="2"/>
    </row>
    <row r="186" spans="1:6" ht="56.25" x14ac:dyDescent="0.25">
      <c r="A186" s="54" t="s">
        <v>24</v>
      </c>
      <c r="B186" s="58" t="s">
        <v>5</v>
      </c>
      <c r="C186" s="58">
        <v>225</v>
      </c>
      <c r="D186" s="2">
        <f t="shared" ref="D186" si="28">D187+D188</f>
        <v>0</v>
      </c>
      <c r="E186" s="2">
        <f>E187+E188</f>
        <v>0</v>
      </c>
      <c r="F186" s="2">
        <f t="shared" ref="F186" si="29">F187+F188</f>
        <v>0</v>
      </c>
    </row>
    <row r="187" spans="1:6" ht="18.75" x14ac:dyDescent="0.25">
      <c r="A187" s="221" t="s">
        <v>6</v>
      </c>
      <c r="B187" s="58">
        <v>243</v>
      </c>
      <c r="C187" s="58">
        <v>225</v>
      </c>
      <c r="D187" s="5">
        <f t="shared" ref="D187:D198" si="30">E187+F187</f>
        <v>0</v>
      </c>
      <c r="E187" s="2">
        <f>E47-E142</f>
        <v>0</v>
      </c>
      <c r="F187" s="2"/>
    </row>
    <row r="188" spans="1:6" ht="18.75" x14ac:dyDescent="0.25">
      <c r="A188" s="221"/>
      <c r="B188" s="58">
        <v>244</v>
      </c>
      <c r="C188" s="58">
        <v>225</v>
      </c>
      <c r="D188" s="5">
        <f t="shared" si="30"/>
        <v>0</v>
      </c>
      <c r="E188" s="2">
        <f>E48-E143</f>
        <v>0</v>
      </c>
      <c r="F188" s="2"/>
    </row>
    <row r="189" spans="1:6" ht="37.5" x14ac:dyDescent="0.25">
      <c r="A189" s="54" t="s">
        <v>58</v>
      </c>
      <c r="B189" s="58" t="s">
        <v>5</v>
      </c>
      <c r="C189" s="58">
        <v>226</v>
      </c>
      <c r="D189" s="5">
        <f t="shared" si="30"/>
        <v>194150</v>
      </c>
      <c r="E189" s="2">
        <f>E190+E191</f>
        <v>194150</v>
      </c>
      <c r="F189" s="2">
        <f>F190+F191</f>
        <v>0</v>
      </c>
    </row>
    <row r="190" spans="1:6" ht="18.75" x14ac:dyDescent="0.25">
      <c r="A190" s="221" t="s">
        <v>6</v>
      </c>
      <c r="B190" s="58">
        <v>243</v>
      </c>
      <c r="C190" s="58">
        <v>226</v>
      </c>
      <c r="D190" s="5">
        <f t="shared" si="30"/>
        <v>0</v>
      </c>
      <c r="E190" s="2">
        <f>E53-E145</f>
        <v>0</v>
      </c>
      <c r="F190" s="2"/>
    </row>
    <row r="191" spans="1:6" ht="18.75" x14ac:dyDescent="0.25">
      <c r="A191" s="221"/>
      <c r="B191" s="58">
        <v>244</v>
      </c>
      <c r="C191" s="58">
        <v>226</v>
      </c>
      <c r="D191" s="5">
        <f t="shared" si="30"/>
        <v>194150</v>
      </c>
      <c r="E191" s="2">
        <f>E54-E146</f>
        <v>194150</v>
      </c>
      <c r="F191" s="2"/>
    </row>
    <row r="192" spans="1:6" ht="18.75" x14ac:dyDescent="0.25">
      <c r="A192" s="54" t="s">
        <v>25</v>
      </c>
      <c r="B192" s="58">
        <v>244</v>
      </c>
      <c r="C192" s="58">
        <v>227</v>
      </c>
      <c r="D192" s="5">
        <f t="shared" si="30"/>
        <v>0</v>
      </c>
      <c r="E192" s="2">
        <f>E55-E147</f>
        <v>0</v>
      </c>
      <c r="F192" s="2"/>
    </row>
    <row r="193" spans="1:6" ht="56.25" x14ac:dyDescent="0.25">
      <c r="A193" s="170" t="s">
        <v>345</v>
      </c>
      <c r="B193" s="171">
        <v>244</v>
      </c>
      <c r="C193" s="171">
        <v>228</v>
      </c>
      <c r="D193" s="5">
        <f t="shared" si="30"/>
        <v>0</v>
      </c>
      <c r="E193" s="2">
        <f>E56-E148</f>
        <v>0</v>
      </c>
      <c r="F193" s="2"/>
    </row>
    <row r="194" spans="1:6" ht="18.75" x14ac:dyDescent="0.25">
      <c r="A194" s="54" t="s">
        <v>30</v>
      </c>
      <c r="B194" s="58" t="s">
        <v>5</v>
      </c>
      <c r="C194" s="58">
        <v>290</v>
      </c>
      <c r="D194" s="5">
        <f t="shared" si="30"/>
        <v>0</v>
      </c>
      <c r="E194" s="2">
        <f>E196+E197</f>
        <v>0</v>
      </c>
      <c r="F194" s="2">
        <f>F196+F197</f>
        <v>0</v>
      </c>
    </row>
    <row r="195" spans="1:6" ht="18.75" x14ac:dyDescent="0.25">
      <c r="A195" s="54" t="s">
        <v>9</v>
      </c>
      <c r="B195" s="58"/>
      <c r="C195" s="58"/>
      <c r="D195" s="5">
        <f t="shared" si="30"/>
        <v>0</v>
      </c>
      <c r="E195" s="2"/>
      <c r="F195" s="2"/>
    </row>
    <row r="196" spans="1:6" ht="56.25" x14ac:dyDescent="0.25">
      <c r="A196" s="54" t="s">
        <v>34</v>
      </c>
      <c r="B196" s="58">
        <v>244</v>
      </c>
      <c r="C196" s="58">
        <v>296</v>
      </c>
      <c r="D196" s="5">
        <f t="shared" si="30"/>
        <v>0</v>
      </c>
      <c r="E196" s="2">
        <f>E76-E151</f>
        <v>0</v>
      </c>
      <c r="F196" s="2"/>
    </row>
    <row r="197" spans="1:6" ht="56.25" x14ac:dyDescent="0.25">
      <c r="A197" s="54" t="s">
        <v>35</v>
      </c>
      <c r="B197" s="58">
        <v>244</v>
      </c>
      <c r="C197" s="58">
        <v>297</v>
      </c>
      <c r="D197" s="5">
        <f t="shared" si="30"/>
        <v>0</v>
      </c>
      <c r="E197" s="2">
        <f>E83-E152</f>
        <v>0</v>
      </c>
      <c r="F197" s="2"/>
    </row>
    <row r="198" spans="1:6" ht="56.25" x14ac:dyDescent="0.25">
      <c r="A198" s="54" t="s">
        <v>59</v>
      </c>
      <c r="B198" s="58" t="s">
        <v>5</v>
      </c>
      <c r="C198" s="58">
        <v>300</v>
      </c>
      <c r="D198" s="5">
        <f t="shared" si="30"/>
        <v>2025779.9000000001</v>
      </c>
      <c r="E198" s="2">
        <f>E200+E202+E201</f>
        <v>2025779.9000000001</v>
      </c>
      <c r="F198" s="2">
        <f>F200+F202+F201</f>
        <v>0</v>
      </c>
    </row>
    <row r="199" spans="1:6" ht="18.75" x14ac:dyDescent="0.25">
      <c r="A199" s="54" t="s">
        <v>9</v>
      </c>
      <c r="B199" s="58"/>
      <c r="C199" s="58"/>
      <c r="D199" s="5"/>
      <c r="E199" s="2"/>
      <c r="F199" s="2"/>
    </row>
    <row r="200" spans="1:6" ht="56.25" x14ac:dyDescent="0.25">
      <c r="A200" s="54" t="s">
        <v>36</v>
      </c>
      <c r="B200" s="58">
        <v>244</v>
      </c>
      <c r="C200" s="58">
        <v>310</v>
      </c>
      <c r="D200" s="5">
        <f t="shared" ref="D200:D202" si="31">E200+F200</f>
        <v>2025779.9000000001</v>
      </c>
      <c r="E200" s="2">
        <f>E89-E155</f>
        <v>2025779.9000000001</v>
      </c>
      <c r="F200" s="2"/>
    </row>
    <row r="201" spans="1:6" ht="75" x14ac:dyDescent="0.25">
      <c r="A201" s="54" t="s">
        <v>68</v>
      </c>
      <c r="B201" s="58">
        <v>244</v>
      </c>
      <c r="C201" s="58">
        <v>320</v>
      </c>
      <c r="D201" s="5">
        <f t="shared" si="31"/>
        <v>0</v>
      </c>
      <c r="E201" s="2">
        <f>E90-E156</f>
        <v>0</v>
      </c>
      <c r="F201" s="2"/>
    </row>
    <row r="202" spans="1:6" ht="75" x14ac:dyDescent="0.25">
      <c r="A202" s="54" t="s">
        <v>60</v>
      </c>
      <c r="B202" s="58" t="s">
        <v>5</v>
      </c>
      <c r="C202" s="58">
        <v>340</v>
      </c>
      <c r="D202" s="5">
        <f t="shared" si="31"/>
        <v>0</v>
      </c>
      <c r="E202" s="2">
        <f>E204+E205+E206+E207+E208+E209+E211</f>
        <v>0</v>
      </c>
      <c r="F202" s="2">
        <f>F204+F205+F206+F207+F208+F209+F211</f>
        <v>0</v>
      </c>
    </row>
    <row r="203" spans="1:6" ht="18.75" x14ac:dyDescent="0.25">
      <c r="A203" s="54" t="s">
        <v>6</v>
      </c>
      <c r="B203" s="58"/>
      <c r="C203" s="58"/>
      <c r="D203" s="5"/>
      <c r="E203" s="2"/>
      <c r="F203" s="2"/>
    </row>
    <row r="204" spans="1:6" ht="131.25" x14ac:dyDescent="0.25">
      <c r="A204" s="54" t="s">
        <v>37</v>
      </c>
      <c r="B204" s="58">
        <v>244</v>
      </c>
      <c r="C204" s="58">
        <v>341</v>
      </c>
      <c r="D204" s="5">
        <f t="shared" ref="D204:D211" si="32">E204+F204</f>
        <v>0</v>
      </c>
      <c r="E204" s="2">
        <f t="shared" ref="E204:E210" si="33">E93-E159</f>
        <v>0</v>
      </c>
      <c r="F204" s="2"/>
    </row>
    <row r="205" spans="1:6" ht="56.25" x14ac:dyDescent="0.25">
      <c r="A205" s="54" t="s">
        <v>38</v>
      </c>
      <c r="B205" s="58">
        <v>244</v>
      </c>
      <c r="C205" s="58">
        <v>342</v>
      </c>
      <c r="D205" s="5">
        <f t="shared" si="32"/>
        <v>0</v>
      </c>
      <c r="E205" s="2">
        <f t="shared" si="33"/>
        <v>0</v>
      </c>
      <c r="F205" s="2"/>
    </row>
    <row r="206" spans="1:6" ht="75" x14ac:dyDescent="0.25">
      <c r="A206" s="54" t="s">
        <v>39</v>
      </c>
      <c r="B206" s="58">
        <v>244</v>
      </c>
      <c r="C206" s="58">
        <v>343</v>
      </c>
      <c r="D206" s="5">
        <f t="shared" si="32"/>
        <v>0</v>
      </c>
      <c r="E206" s="2">
        <f t="shared" si="33"/>
        <v>0</v>
      </c>
      <c r="F206" s="2"/>
    </row>
    <row r="207" spans="1:6" ht="75" x14ac:dyDescent="0.25">
      <c r="A207" s="54" t="s">
        <v>40</v>
      </c>
      <c r="B207" s="58">
        <v>244</v>
      </c>
      <c r="C207" s="58">
        <v>344</v>
      </c>
      <c r="D207" s="5">
        <f t="shared" si="32"/>
        <v>0</v>
      </c>
      <c r="E207" s="2">
        <f t="shared" si="33"/>
        <v>0</v>
      </c>
      <c r="F207" s="2"/>
    </row>
    <row r="208" spans="1:6" ht="56.25" x14ac:dyDescent="0.25">
      <c r="A208" s="54" t="s">
        <v>41</v>
      </c>
      <c r="B208" s="58">
        <v>244</v>
      </c>
      <c r="C208" s="58">
        <v>345</v>
      </c>
      <c r="D208" s="5">
        <f t="shared" si="32"/>
        <v>0</v>
      </c>
      <c r="E208" s="2">
        <f t="shared" si="33"/>
        <v>0</v>
      </c>
      <c r="F208" s="2"/>
    </row>
    <row r="209" spans="1:6" ht="75" x14ac:dyDescent="0.25">
      <c r="A209" s="54" t="s">
        <v>42</v>
      </c>
      <c r="B209" s="58">
        <v>244</v>
      </c>
      <c r="C209" s="58">
        <v>346</v>
      </c>
      <c r="D209" s="5">
        <f t="shared" si="32"/>
        <v>0</v>
      </c>
      <c r="E209" s="2">
        <f t="shared" si="33"/>
        <v>0</v>
      </c>
      <c r="F209" s="2"/>
    </row>
    <row r="210" spans="1:6" ht="112.5" x14ac:dyDescent="0.25">
      <c r="A210" s="170" t="s">
        <v>346</v>
      </c>
      <c r="B210" s="171">
        <v>244</v>
      </c>
      <c r="C210" s="171">
        <v>347</v>
      </c>
      <c r="D210" s="5">
        <f t="shared" ref="D210" si="34">E210+F210</f>
        <v>0</v>
      </c>
      <c r="E210" s="2">
        <f t="shared" si="33"/>
        <v>0</v>
      </c>
      <c r="F210" s="2"/>
    </row>
    <row r="211" spans="1:6" ht="112.5" x14ac:dyDescent="0.25">
      <c r="A211" s="54" t="s">
        <v>43</v>
      </c>
      <c r="B211" s="58">
        <v>244</v>
      </c>
      <c r="C211" s="58">
        <v>349</v>
      </c>
      <c r="D211" s="5">
        <f t="shared" si="32"/>
        <v>0</v>
      </c>
      <c r="E211" s="2">
        <f t="shared" ref="E211" si="35">E100-E166</f>
        <v>0</v>
      </c>
      <c r="F211" s="2"/>
    </row>
  </sheetData>
  <mergeCells count="35">
    <mergeCell ref="A1:F1"/>
    <mergeCell ref="A2:F2"/>
    <mergeCell ref="A5:A6"/>
    <mergeCell ref="B5:B6"/>
    <mergeCell ref="C5:C6"/>
    <mergeCell ref="D5:D6"/>
    <mergeCell ref="E5:F5"/>
    <mergeCell ref="B112:C112"/>
    <mergeCell ref="E112:F112"/>
    <mergeCell ref="A69:A71"/>
    <mergeCell ref="A76:A81"/>
    <mergeCell ref="A83:A86"/>
    <mergeCell ref="B108:C108"/>
    <mergeCell ref="E108:F108"/>
    <mergeCell ref="B111:C111"/>
    <mergeCell ref="E111:F111"/>
    <mergeCell ref="B109:C109"/>
    <mergeCell ref="E109:F109"/>
    <mergeCell ref="A26:A27"/>
    <mergeCell ref="A32:A33"/>
    <mergeCell ref="A47:A48"/>
    <mergeCell ref="A50:A54"/>
    <mergeCell ref="A62:A63"/>
    <mergeCell ref="B114:C114"/>
    <mergeCell ref="E114:F114"/>
    <mergeCell ref="B115:C115"/>
    <mergeCell ref="E115:F115"/>
    <mergeCell ref="A117:B117"/>
    <mergeCell ref="A187:A188"/>
    <mergeCell ref="A190:A191"/>
    <mergeCell ref="A118:F118"/>
    <mergeCell ref="A122:F122"/>
    <mergeCell ref="A142:A143"/>
    <mergeCell ref="A145:A146"/>
    <mergeCell ref="A167:F167"/>
  </mergeCells>
  <pageMargins left="1.3779527559055118" right="0.39370078740157483" top="0.98425196850393704" bottom="0.78740157480314965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116"/>
  <sheetViews>
    <sheetView view="pageBreakPreview" topLeftCell="A103" zoomScaleNormal="100" zoomScaleSheetLayoutView="100" workbookViewId="0">
      <selection activeCell="D115" sqref="D115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6" width="18.5703125" style="7" customWidth="1"/>
    <col min="7" max="16384" width="8.85546875" style="7"/>
  </cols>
  <sheetData>
    <row r="1" spans="1:6" ht="18.75" x14ac:dyDescent="0.25">
      <c r="A1" s="237" t="s">
        <v>263</v>
      </c>
      <c r="B1" s="237"/>
      <c r="C1" s="237"/>
      <c r="D1" s="237"/>
      <c r="E1" s="237"/>
      <c r="F1" s="237"/>
    </row>
    <row r="2" spans="1:6" ht="18.75" x14ac:dyDescent="0.25">
      <c r="A2" s="237" t="s">
        <v>459</v>
      </c>
      <c r="B2" s="237"/>
      <c r="C2" s="237"/>
      <c r="D2" s="237"/>
      <c r="E2" s="237"/>
      <c r="F2" s="237"/>
    </row>
    <row r="3" spans="1:6" x14ac:dyDescent="0.25">
      <c r="A3" s="30"/>
    </row>
    <row r="4" spans="1:6" ht="19.5" thickBot="1" x14ac:dyDescent="0.3">
      <c r="A4" s="6"/>
      <c r="F4" s="6" t="s">
        <v>51</v>
      </c>
    </row>
    <row r="5" spans="1:6" ht="52.9" customHeight="1" x14ac:dyDescent="0.25">
      <c r="A5" s="229" t="s">
        <v>0</v>
      </c>
      <c r="B5" s="231" t="s">
        <v>45</v>
      </c>
      <c r="C5" s="233" t="s">
        <v>46</v>
      </c>
      <c r="D5" s="231" t="s">
        <v>1</v>
      </c>
      <c r="E5" s="231" t="s">
        <v>197</v>
      </c>
      <c r="F5" s="241"/>
    </row>
    <row r="6" spans="1:6" ht="15.75" x14ac:dyDescent="0.25">
      <c r="A6" s="243"/>
      <c r="B6" s="242"/>
      <c r="C6" s="244"/>
      <c r="D6" s="242"/>
      <c r="E6" s="245" t="s">
        <v>6</v>
      </c>
      <c r="F6" s="246"/>
    </row>
    <row r="7" spans="1:6" ht="221.25" thickBot="1" x14ac:dyDescent="0.3">
      <c r="A7" s="230"/>
      <c r="B7" s="232"/>
      <c r="C7" s="234"/>
      <c r="D7" s="232"/>
      <c r="E7" s="117" t="s">
        <v>198</v>
      </c>
      <c r="F7" s="38" t="s">
        <v>199</v>
      </c>
    </row>
    <row r="8" spans="1:6" ht="15.75" thickBot="1" x14ac:dyDescent="0.3">
      <c r="A8" s="43">
        <v>1</v>
      </c>
      <c r="B8" s="44">
        <v>2</v>
      </c>
      <c r="C8" s="44">
        <v>3</v>
      </c>
      <c r="D8" s="44">
        <v>4</v>
      </c>
      <c r="E8" s="44">
        <v>5</v>
      </c>
      <c r="F8" s="45">
        <v>6</v>
      </c>
    </row>
    <row r="9" spans="1:6" ht="18.75" x14ac:dyDescent="0.25">
      <c r="A9" s="115" t="s">
        <v>184</v>
      </c>
      <c r="B9" s="119" t="s">
        <v>5</v>
      </c>
      <c r="C9" s="119" t="s">
        <v>5</v>
      </c>
      <c r="D9" s="5">
        <f t="shared" ref="D9:D10" si="0">E9+F9</f>
        <v>0</v>
      </c>
      <c r="E9" s="2"/>
      <c r="F9" s="4"/>
    </row>
    <row r="10" spans="1:6" ht="18.75" x14ac:dyDescent="0.25">
      <c r="A10" s="115" t="s">
        <v>7</v>
      </c>
      <c r="B10" s="119" t="s">
        <v>5</v>
      </c>
      <c r="C10" s="119">
        <v>900</v>
      </c>
      <c r="D10" s="5">
        <f t="shared" si="0"/>
        <v>2219929.9000000004</v>
      </c>
      <c r="E10" s="2">
        <f>E13+E46+E61+E91</f>
        <v>2219929.9000000004</v>
      </c>
      <c r="F10" s="4">
        <f>F13+F46+F61+F91</f>
        <v>0</v>
      </c>
    </row>
    <row r="11" spans="1:6" ht="18.75" x14ac:dyDescent="0.25">
      <c r="A11" s="115" t="s">
        <v>6</v>
      </c>
      <c r="B11" s="119"/>
      <c r="C11" s="119"/>
      <c r="D11" s="5"/>
      <c r="E11" s="2"/>
      <c r="F11" s="4"/>
    </row>
    <row r="12" spans="1:6" ht="33.6" customHeight="1" x14ac:dyDescent="0.25">
      <c r="A12" s="238" t="s">
        <v>200</v>
      </c>
      <c r="B12" s="239"/>
      <c r="C12" s="239"/>
      <c r="D12" s="239"/>
      <c r="E12" s="239"/>
      <c r="F12" s="240"/>
    </row>
    <row r="13" spans="1:6" ht="18.75" x14ac:dyDescent="0.25">
      <c r="A13" s="115" t="s">
        <v>8</v>
      </c>
      <c r="B13" s="119" t="s">
        <v>5</v>
      </c>
      <c r="C13" s="119">
        <v>200</v>
      </c>
      <c r="D13" s="5">
        <f t="shared" ref="D13:D50" si="1">E13+F13</f>
        <v>0</v>
      </c>
      <c r="E13" s="2">
        <f>E15+E18+E42</f>
        <v>0</v>
      </c>
      <c r="F13" s="4">
        <f>F15+F18+F42</f>
        <v>0</v>
      </c>
    </row>
    <row r="14" spans="1:6" ht="14.45" customHeight="1" x14ac:dyDescent="0.25">
      <c r="A14" s="115" t="s">
        <v>9</v>
      </c>
      <c r="B14" s="119"/>
      <c r="C14" s="119"/>
      <c r="D14" s="5"/>
      <c r="E14" s="2"/>
      <c r="F14" s="4"/>
    </row>
    <row r="15" spans="1:6" ht="75" x14ac:dyDescent="0.25">
      <c r="A15" s="115" t="s">
        <v>10</v>
      </c>
      <c r="B15" s="119" t="s">
        <v>5</v>
      </c>
      <c r="C15" s="119">
        <v>210</v>
      </c>
      <c r="D15" s="5">
        <f t="shared" si="1"/>
        <v>0</v>
      </c>
      <c r="E15" s="2">
        <f>E17</f>
        <v>0</v>
      </c>
      <c r="F15" s="4">
        <f>F17</f>
        <v>0</v>
      </c>
    </row>
    <row r="16" spans="1:6" ht="18.75" x14ac:dyDescent="0.25">
      <c r="A16" s="115" t="s">
        <v>9</v>
      </c>
      <c r="B16" s="119"/>
      <c r="C16" s="119"/>
      <c r="D16" s="5"/>
      <c r="E16" s="2"/>
      <c r="F16" s="4"/>
    </row>
    <row r="17" spans="1:6" ht="93.75" x14ac:dyDescent="0.25">
      <c r="A17" s="115" t="s">
        <v>201</v>
      </c>
      <c r="B17" s="119">
        <v>244</v>
      </c>
      <c r="C17" s="119">
        <v>214</v>
      </c>
      <c r="D17" s="5">
        <f>E17+F17</f>
        <v>0</v>
      </c>
      <c r="E17" s="2">
        <f>'иные субсидии 2022 год '!E127</f>
        <v>0</v>
      </c>
      <c r="F17" s="4"/>
    </row>
    <row r="18" spans="1:6" ht="37.5" x14ac:dyDescent="0.25">
      <c r="A18" s="115" t="s">
        <v>14</v>
      </c>
      <c r="B18" s="119" t="s">
        <v>5</v>
      </c>
      <c r="C18" s="119">
        <v>220</v>
      </c>
      <c r="D18" s="5">
        <f t="shared" si="1"/>
        <v>0</v>
      </c>
      <c r="E18" s="2">
        <f>E20+E21+E22+E33+E34+E37+E40+E41</f>
        <v>0</v>
      </c>
      <c r="F18" s="4">
        <f>F20+F21+F22+F33+F34+F37+F40</f>
        <v>0</v>
      </c>
    </row>
    <row r="19" spans="1:6" ht="18.75" x14ac:dyDescent="0.25">
      <c r="A19" s="115" t="s">
        <v>9</v>
      </c>
      <c r="B19" s="119"/>
      <c r="C19" s="119"/>
      <c r="D19" s="5"/>
      <c r="E19" s="2"/>
      <c r="F19" s="4"/>
    </row>
    <row r="20" spans="1:6" ht="18.75" x14ac:dyDescent="0.25">
      <c r="A20" s="115" t="s">
        <v>15</v>
      </c>
      <c r="B20" s="119">
        <v>244</v>
      </c>
      <c r="C20" s="119">
        <v>221</v>
      </c>
      <c r="D20" s="5">
        <f t="shared" si="1"/>
        <v>0</v>
      </c>
      <c r="E20" s="2">
        <f>'иные субсидии 2022 год '!E130</f>
        <v>0</v>
      </c>
      <c r="F20" s="4"/>
    </row>
    <row r="21" spans="1:6" ht="37.5" x14ac:dyDescent="0.25">
      <c r="A21" s="115" t="s">
        <v>16</v>
      </c>
      <c r="B21" s="119">
        <v>244</v>
      </c>
      <c r="C21" s="119">
        <v>222</v>
      </c>
      <c r="D21" s="5">
        <f t="shared" si="1"/>
        <v>0</v>
      </c>
      <c r="E21" s="2">
        <f>'иные субсидии 2022 год '!E131</f>
        <v>0</v>
      </c>
      <c r="F21" s="4"/>
    </row>
    <row r="22" spans="1:6" ht="37.5" x14ac:dyDescent="0.25">
      <c r="A22" s="115" t="s">
        <v>17</v>
      </c>
      <c r="B22" s="119" t="s">
        <v>5</v>
      </c>
      <c r="C22" s="119">
        <v>223</v>
      </c>
      <c r="D22" s="5">
        <f t="shared" si="1"/>
        <v>0</v>
      </c>
      <c r="E22" s="2">
        <f t="shared" ref="E22:F22" si="2">E25+E27+E29+E30+E31</f>
        <v>0</v>
      </c>
      <c r="F22" s="4">
        <f t="shared" si="2"/>
        <v>0</v>
      </c>
    </row>
    <row r="23" spans="1:6" ht="18.75" x14ac:dyDescent="0.25">
      <c r="A23" s="115" t="s">
        <v>6</v>
      </c>
      <c r="B23" s="119"/>
      <c r="C23" s="119"/>
      <c r="D23" s="5"/>
      <c r="E23" s="2"/>
      <c r="F23" s="4"/>
    </row>
    <row r="24" spans="1:6" ht="56.25" x14ac:dyDescent="0.25">
      <c r="A24" s="190" t="s">
        <v>18</v>
      </c>
      <c r="B24" s="191">
        <v>244</v>
      </c>
      <c r="C24" s="191">
        <v>223</v>
      </c>
      <c r="D24" s="5">
        <f t="shared" ref="D24" si="3">E24+F24</f>
        <v>0</v>
      </c>
      <c r="E24" s="2">
        <f>'иные субсидии 2022 год '!E133</f>
        <v>0</v>
      </c>
      <c r="F24" s="4"/>
    </row>
    <row r="25" spans="1:6" ht="56.25" x14ac:dyDescent="0.25">
      <c r="A25" s="115" t="s">
        <v>18</v>
      </c>
      <c r="B25" s="119">
        <v>247</v>
      </c>
      <c r="C25" s="119">
        <v>223</v>
      </c>
      <c r="D25" s="5">
        <f t="shared" si="1"/>
        <v>0</v>
      </c>
      <c r="E25" s="2">
        <f>'иные субсидии 2022 год '!E134</f>
        <v>0</v>
      </c>
      <c r="F25" s="4"/>
    </row>
    <row r="26" spans="1:6" ht="37.5" x14ac:dyDescent="0.25">
      <c r="A26" s="190" t="s">
        <v>19</v>
      </c>
      <c r="B26" s="191">
        <v>244</v>
      </c>
      <c r="C26" s="191">
        <v>223</v>
      </c>
      <c r="D26" s="5">
        <f t="shared" ref="D26" si="4">E26+F26</f>
        <v>0</v>
      </c>
      <c r="E26" s="2">
        <f>'иные субсидии 2022 год '!E134</f>
        <v>0</v>
      </c>
      <c r="F26" s="4"/>
    </row>
    <row r="27" spans="1:6" ht="37.5" x14ac:dyDescent="0.25">
      <c r="A27" s="115" t="s">
        <v>19</v>
      </c>
      <c r="B27" s="119">
        <v>247</v>
      </c>
      <c r="C27" s="119">
        <v>223</v>
      </c>
      <c r="D27" s="5">
        <f t="shared" si="1"/>
        <v>0</v>
      </c>
      <c r="E27" s="2">
        <f>'иные субсидии 2022 год '!E135</f>
        <v>0</v>
      </c>
      <c r="F27" s="4"/>
    </row>
    <row r="28" spans="1:6" ht="75" x14ac:dyDescent="0.25">
      <c r="A28" s="190" t="s">
        <v>20</v>
      </c>
      <c r="B28" s="191">
        <v>244</v>
      </c>
      <c r="C28" s="191">
        <v>223</v>
      </c>
      <c r="D28" s="5">
        <f t="shared" ref="D28" si="5">E28+F28</f>
        <v>0</v>
      </c>
      <c r="E28" s="2">
        <f>'иные субсидии 2022 год '!E135</f>
        <v>0</v>
      </c>
      <c r="F28" s="4"/>
    </row>
    <row r="29" spans="1:6" ht="75" x14ac:dyDescent="0.25">
      <c r="A29" s="115" t="s">
        <v>20</v>
      </c>
      <c r="B29" s="119">
        <v>247</v>
      </c>
      <c r="C29" s="119">
        <v>223</v>
      </c>
      <c r="D29" s="5">
        <f t="shared" si="1"/>
        <v>0</v>
      </c>
      <c r="E29" s="2">
        <f>'иные субсидии 2022 год '!E136</f>
        <v>0</v>
      </c>
      <c r="F29" s="4"/>
    </row>
    <row r="30" spans="1:6" ht="75" x14ac:dyDescent="0.25">
      <c r="A30" s="115" t="s">
        <v>21</v>
      </c>
      <c r="B30" s="119">
        <v>244</v>
      </c>
      <c r="C30" s="119">
        <v>223</v>
      </c>
      <c r="D30" s="5">
        <f t="shared" si="1"/>
        <v>0</v>
      </c>
      <c r="E30" s="2">
        <f>'иные субсидии 2022 год '!E137</f>
        <v>0</v>
      </c>
      <c r="F30" s="4"/>
    </row>
    <row r="31" spans="1:6" ht="56.25" x14ac:dyDescent="0.25">
      <c r="A31" s="115" t="s">
        <v>22</v>
      </c>
      <c r="B31" s="119">
        <v>244</v>
      </c>
      <c r="C31" s="119">
        <v>223</v>
      </c>
      <c r="D31" s="5">
        <f t="shared" si="1"/>
        <v>0</v>
      </c>
      <c r="E31" s="2">
        <f>'иные субсидии 2022 год '!E138</f>
        <v>0</v>
      </c>
      <c r="F31" s="4"/>
    </row>
    <row r="32" spans="1:6" ht="56.25" x14ac:dyDescent="0.25">
      <c r="A32" s="195" t="s">
        <v>442</v>
      </c>
      <c r="B32" s="196">
        <v>244</v>
      </c>
      <c r="C32" s="196">
        <v>223</v>
      </c>
      <c r="D32" s="5">
        <f t="shared" ref="D32" si="6">E32+F32</f>
        <v>0</v>
      </c>
      <c r="E32" s="2">
        <f>'иные субсидии 2022 год '!E139</f>
        <v>0</v>
      </c>
      <c r="F32" s="4"/>
    </row>
    <row r="33" spans="1:6" ht="168.75" x14ac:dyDescent="0.25">
      <c r="A33" s="115" t="s">
        <v>23</v>
      </c>
      <c r="B33" s="119">
        <v>244</v>
      </c>
      <c r="C33" s="119">
        <v>224</v>
      </c>
      <c r="D33" s="5">
        <f t="shared" si="1"/>
        <v>0</v>
      </c>
      <c r="E33" s="2">
        <f>'иные субсидии 2022 год '!E140</f>
        <v>0</v>
      </c>
      <c r="F33" s="4"/>
    </row>
    <row r="34" spans="1:6" ht="56.25" x14ac:dyDescent="0.25">
      <c r="A34" s="115" t="s">
        <v>24</v>
      </c>
      <c r="B34" s="119" t="s">
        <v>5</v>
      </c>
      <c r="C34" s="119">
        <v>225</v>
      </c>
      <c r="D34" s="2">
        <f t="shared" ref="D34:F34" si="7">D35+D36</f>
        <v>0</v>
      </c>
      <c r="E34" s="2">
        <f>E35+E36</f>
        <v>0</v>
      </c>
      <c r="F34" s="4">
        <f t="shared" si="7"/>
        <v>0</v>
      </c>
    </row>
    <row r="35" spans="1:6" ht="18.75" x14ac:dyDescent="0.25">
      <c r="A35" s="221" t="s">
        <v>6</v>
      </c>
      <c r="B35" s="119">
        <v>243</v>
      </c>
      <c r="C35" s="119">
        <v>225</v>
      </c>
      <c r="D35" s="5">
        <f t="shared" si="1"/>
        <v>0</v>
      </c>
      <c r="E35" s="2">
        <f>'иные субсидии 2022 год '!E142</f>
        <v>0</v>
      </c>
      <c r="F35" s="4"/>
    </row>
    <row r="36" spans="1:6" ht="18.75" x14ac:dyDescent="0.25">
      <c r="A36" s="221"/>
      <c r="B36" s="119">
        <v>244</v>
      </c>
      <c r="C36" s="119">
        <v>225</v>
      </c>
      <c r="D36" s="5">
        <f t="shared" si="1"/>
        <v>0</v>
      </c>
      <c r="E36" s="2">
        <f>'иные субсидии 2022 год '!E143</f>
        <v>0</v>
      </c>
      <c r="F36" s="4"/>
    </row>
    <row r="37" spans="1:6" ht="37.5" x14ac:dyDescent="0.25">
      <c r="A37" s="115" t="s">
        <v>58</v>
      </c>
      <c r="B37" s="119" t="s">
        <v>5</v>
      </c>
      <c r="C37" s="119">
        <v>226</v>
      </c>
      <c r="D37" s="5">
        <f t="shared" si="1"/>
        <v>0</v>
      </c>
      <c r="E37" s="2">
        <f>E38+E39</f>
        <v>0</v>
      </c>
      <c r="F37" s="4">
        <f>F38+F39</f>
        <v>0</v>
      </c>
    </row>
    <row r="38" spans="1:6" ht="18.75" x14ac:dyDescent="0.25">
      <c r="A38" s="221" t="s">
        <v>6</v>
      </c>
      <c r="B38" s="119">
        <v>243</v>
      </c>
      <c r="C38" s="119">
        <v>226</v>
      </c>
      <c r="D38" s="5">
        <f t="shared" si="1"/>
        <v>0</v>
      </c>
      <c r="E38" s="2">
        <f>'иные субсидии 2022 год '!E145</f>
        <v>0</v>
      </c>
      <c r="F38" s="4"/>
    </row>
    <row r="39" spans="1:6" ht="18.75" x14ac:dyDescent="0.25">
      <c r="A39" s="221"/>
      <c r="B39" s="119">
        <v>244</v>
      </c>
      <c r="C39" s="119">
        <v>226</v>
      </c>
      <c r="D39" s="5">
        <f t="shared" si="1"/>
        <v>0</v>
      </c>
      <c r="E39" s="2">
        <f>'иные субсидии 2022 год '!E146</f>
        <v>0</v>
      </c>
      <c r="F39" s="4"/>
    </row>
    <row r="40" spans="1:6" ht="18.75" x14ac:dyDescent="0.25">
      <c r="A40" s="115" t="s">
        <v>25</v>
      </c>
      <c r="B40" s="119">
        <v>244</v>
      </c>
      <c r="C40" s="119">
        <v>227</v>
      </c>
      <c r="D40" s="5">
        <f>E40+F40</f>
        <v>0</v>
      </c>
      <c r="E40" s="2">
        <f>'иные субсидии 2022 год '!E147</f>
        <v>0</v>
      </c>
      <c r="F40" s="4"/>
    </row>
    <row r="41" spans="1:6" ht="56.25" x14ac:dyDescent="0.25">
      <c r="A41" s="170" t="s">
        <v>345</v>
      </c>
      <c r="B41" s="171">
        <v>244</v>
      </c>
      <c r="C41" s="171">
        <v>228</v>
      </c>
      <c r="D41" s="5">
        <f>E41+F41</f>
        <v>0</v>
      </c>
      <c r="E41" s="2">
        <f>'иные субсидии 2022 год '!E148</f>
        <v>0</v>
      </c>
      <c r="F41" s="4"/>
    </row>
    <row r="42" spans="1:6" ht="18.75" x14ac:dyDescent="0.25">
      <c r="A42" s="115" t="s">
        <v>30</v>
      </c>
      <c r="B42" s="119" t="s">
        <v>5</v>
      </c>
      <c r="C42" s="119">
        <v>290</v>
      </c>
      <c r="D42" s="5">
        <f t="shared" si="1"/>
        <v>0</v>
      </c>
      <c r="E42" s="2">
        <f>E44+E45</f>
        <v>0</v>
      </c>
      <c r="F42" s="4">
        <f>F44+F45</f>
        <v>0</v>
      </c>
    </row>
    <row r="43" spans="1:6" ht="18.75" x14ac:dyDescent="0.25">
      <c r="A43" s="115" t="s">
        <v>9</v>
      </c>
      <c r="B43" s="119"/>
      <c r="C43" s="119"/>
      <c r="D43" s="5">
        <f t="shared" si="1"/>
        <v>0</v>
      </c>
      <c r="E43" s="2"/>
      <c r="F43" s="4"/>
    </row>
    <row r="44" spans="1:6" ht="56.25" x14ac:dyDescent="0.25">
      <c r="A44" s="115" t="s">
        <v>34</v>
      </c>
      <c r="B44" s="119">
        <v>244</v>
      </c>
      <c r="C44" s="119">
        <v>296</v>
      </c>
      <c r="D44" s="5">
        <f t="shared" si="1"/>
        <v>0</v>
      </c>
      <c r="E44" s="2">
        <f>'иные субсидии 2022 год '!E151</f>
        <v>0</v>
      </c>
      <c r="F44" s="4"/>
    </row>
    <row r="45" spans="1:6" ht="56.25" x14ac:dyDescent="0.25">
      <c r="A45" s="115" t="s">
        <v>35</v>
      </c>
      <c r="B45" s="119">
        <v>244</v>
      </c>
      <c r="C45" s="119">
        <v>297</v>
      </c>
      <c r="D45" s="5">
        <f t="shared" si="1"/>
        <v>0</v>
      </c>
      <c r="E45" s="2">
        <f>'иные субсидии 2022 год '!E152</f>
        <v>0</v>
      </c>
      <c r="F45" s="4"/>
    </row>
    <row r="46" spans="1:6" ht="56.25" x14ac:dyDescent="0.25">
      <c r="A46" s="115" t="s">
        <v>59</v>
      </c>
      <c r="B46" s="119" t="s">
        <v>5</v>
      </c>
      <c r="C46" s="119">
        <v>300</v>
      </c>
      <c r="D46" s="5">
        <f t="shared" si="1"/>
        <v>0</v>
      </c>
      <c r="E46" s="2">
        <f>E48+E50+E49</f>
        <v>0</v>
      </c>
      <c r="F46" s="4">
        <f>F48+F50+F49</f>
        <v>0</v>
      </c>
    </row>
    <row r="47" spans="1:6" ht="18.75" x14ac:dyDescent="0.25">
      <c r="A47" s="115" t="s">
        <v>9</v>
      </c>
      <c r="B47" s="119"/>
      <c r="C47" s="119"/>
      <c r="D47" s="5"/>
      <c r="E47" s="2"/>
      <c r="F47" s="4"/>
    </row>
    <row r="48" spans="1:6" ht="56.25" x14ac:dyDescent="0.25">
      <c r="A48" s="115" t="s">
        <v>36</v>
      </c>
      <c r="B48" s="119">
        <v>244</v>
      </c>
      <c r="C48" s="119">
        <v>310</v>
      </c>
      <c r="D48" s="5">
        <f t="shared" si="1"/>
        <v>0</v>
      </c>
      <c r="E48" s="2">
        <f>'иные субсидии 2022 год '!E155</f>
        <v>0</v>
      </c>
      <c r="F48" s="4"/>
    </row>
    <row r="49" spans="1:6" ht="75" x14ac:dyDescent="0.25">
      <c r="A49" s="115" t="s">
        <v>68</v>
      </c>
      <c r="B49" s="119">
        <v>244</v>
      </c>
      <c r="C49" s="119">
        <v>320</v>
      </c>
      <c r="D49" s="5">
        <f t="shared" si="1"/>
        <v>0</v>
      </c>
      <c r="E49" s="2">
        <f>'иные субсидии 2022 год '!E156</f>
        <v>0</v>
      </c>
      <c r="F49" s="4"/>
    </row>
    <row r="50" spans="1:6" ht="75" x14ac:dyDescent="0.25">
      <c r="A50" s="115" t="s">
        <v>60</v>
      </c>
      <c r="B50" s="119" t="s">
        <v>5</v>
      </c>
      <c r="C50" s="119">
        <v>340</v>
      </c>
      <c r="D50" s="5">
        <f t="shared" si="1"/>
        <v>0</v>
      </c>
      <c r="E50" s="2">
        <f>E52+E53+E54+E55+E56+E57+E59</f>
        <v>0</v>
      </c>
      <c r="F50" s="4">
        <f>F52+F53+F54+F55+F56+F57+F59</f>
        <v>0</v>
      </c>
    </row>
    <row r="51" spans="1:6" ht="18.75" x14ac:dyDescent="0.25">
      <c r="A51" s="115" t="s">
        <v>6</v>
      </c>
      <c r="B51" s="119"/>
      <c r="C51" s="119"/>
      <c r="D51" s="5"/>
      <c r="E51" s="2"/>
      <c r="F51" s="4"/>
    </row>
    <row r="52" spans="1:6" ht="131.25" x14ac:dyDescent="0.25">
      <c r="A52" s="115" t="s">
        <v>37</v>
      </c>
      <c r="B52" s="119">
        <v>244</v>
      </c>
      <c r="C52" s="119">
        <v>341</v>
      </c>
      <c r="D52" s="5">
        <f t="shared" ref="D52:D59" si="8">E52+F52</f>
        <v>0</v>
      </c>
      <c r="E52" s="2">
        <f>'иные субсидии 2022 год '!E159</f>
        <v>0</v>
      </c>
      <c r="F52" s="4"/>
    </row>
    <row r="53" spans="1:6" ht="56.25" x14ac:dyDescent="0.25">
      <c r="A53" s="115" t="s">
        <v>38</v>
      </c>
      <c r="B53" s="119">
        <v>244</v>
      </c>
      <c r="C53" s="119">
        <v>342</v>
      </c>
      <c r="D53" s="5">
        <f t="shared" si="8"/>
        <v>0</v>
      </c>
      <c r="E53" s="2">
        <f>'иные субсидии 2022 год '!E160</f>
        <v>0</v>
      </c>
      <c r="F53" s="4"/>
    </row>
    <row r="54" spans="1:6" ht="75" x14ac:dyDescent="0.25">
      <c r="A54" s="115" t="s">
        <v>39</v>
      </c>
      <c r="B54" s="119">
        <v>244</v>
      </c>
      <c r="C54" s="119">
        <v>343</v>
      </c>
      <c r="D54" s="5">
        <f t="shared" si="8"/>
        <v>0</v>
      </c>
      <c r="E54" s="2">
        <f>'иные субсидии 2022 год '!E161</f>
        <v>0</v>
      </c>
      <c r="F54" s="4"/>
    </row>
    <row r="55" spans="1:6" ht="75" x14ac:dyDescent="0.25">
      <c r="A55" s="115" t="s">
        <v>40</v>
      </c>
      <c r="B55" s="119">
        <v>244</v>
      </c>
      <c r="C55" s="119">
        <v>344</v>
      </c>
      <c r="D55" s="5">
        <f t="shared" si="8"/>
        <v>0</v>
      </c>
      <c r="E55" s="2">
        <f>'иные субсидии 2022 год '!E162</f>
        <v>0</v>
      </c>
      <c r="F55" s="4"/>
    </row>
    <row r="56" spans="1:6" ht="56.25" x14ac:dyDescent="0.25">
      <c r="A56" s="115" t="s">
        <v>41</v>
      </c>
      <c r="B56" s="119">
        <v>244</v>
      </c>
      <c r="C56" s="119">
        <v>345</v>
      </c>
      <c r="D56" s="5">
        <f t="shared" si="8"/>
        <v>0</v>
      </c>
      <c r="E56" s="2">
        <f>'иные субсидии 2022 год '!E163</f>
        <v>0</v>
      </c>
      <c r="F56" s="4"/>
    </row>
    <row r="57" spans="1:6" ht="75" x14ac:dyDescent="0.25">
      <c r="A57" s="115" t="s">
        <v>42</v>
      </c>
      <c r="B57" s="119">
        <v>244</v>
      </c>
      <c r="C57" s="119">
        <v>346</v>
      </c>
      <c r="D57" s="5">
        <f t="shared" si="8"/>
        <v>0</v>
      </c>
      <c r="E57" s="2">
        <f>'иные субсидии 2022 год '!E164</f>
        <v>0</v>
      </c>
      <c r="F57" s="4"/>
    </row>
    <row r="58" spans="1:6" ht="112.5" x14ac:dyDescent="0.25">
      <c r="A58" s="170" t="s">
        <v>346</v>
      </c>
      <c r="B58" s="171">
        <v>244</v>
      </c>
      <c r="C58" s="171">
        <v>347</v>
      </c>
      <c r="D58" s="5">
        <f>E58+F58</f>
        <v>0</v>
      </c>
      <c r="E58" s="2">
        <f>'иные субсидии 2022 год '!E165</f>
        <v>0</v>
      </c>
      <c r="F58" s="4"/>
    </row>
    <row r="59" spans="1:6" ht="112.5" x14ac:dyDescent="0.25">
      <c r="A59" s="115" t="s">
        <v>43</v>
      </c>
      <c r="B59" s="119">
        <v>244</v>
      </c>
      <c r="C59" s="119">
        <v>349</v>
      </c>
      <c r="D59" s="5">
        <f t="shared" si="8"/>
        <v>0</v>
      </c>
      <c r="E59" s="2">
        <f>'иные субсидии 2022 год '!E166</f>
        <v>0</v>
      </c>
      <c r="F59" s="4"/>
    </row>
    <row r="60" spans="1:6" ht="32.450000000000003" customHeight="1" x14ac:dyDescent="0.25">
      <c r="A60" s="238" t="s">
        <v>202</v>
      </c>
      <c r="B60" s="239"/>
      <c r="C60" s="239"/>
      <c r="D60" s="239"/>
      <c r="E60" s="239"/>
      <c r="F60" s="240"/>
    </row>
    <row r="61" spans="1:6" ht="18.75" x14ac:dyDescent="0.25">
      <c r="A61" s="115" t="s">
        <v>8</v>
      </c>
      <c r="B61" s="119" t="s">
        <v>5</v>
      </c>
      <c r="C61" s="119">
        <v>200</v>
      </c>
      <c r="D61" s="5">
        <f t="shared" ref="D61" si="9">E61+F61</f>
        <v>194150</v>
      </c>
      <c r="E61" s="2">
        <f>E63+E66+E87</f>
        <v>194150</v>
      </c>
      <c r="F61" s="4">
        <f>F63+F66+F87</f>
        <v>0</v>
      </c>
    </row>
    <row r="62" spans="1:6" ht="18.75" x14ac:dyDescent="0.25">
      <c r="A62" s="115" t="s">
        <v>9</v>
      </c>
      <c r="B62" s="119"/>
      <c r="C62" s="119"/>
      <c r="D62" s="5"/>
      <c r="E62" s="2"/>
      <c r="F62" s="4"/>
    </row>
    <row r="63" spans="1:6" ht="75" x14ac:dyDescent="0.25">
      <c r="A63" s="115" t="s">
        <v>10</v>
      </c>
      <c r="B63" s="119" t="s">
        <v>5</v>
      </c>
      <c r="C63" s="119">
        <v>210</v>
      </c>
      <c r="D63" s="5">
        <f t="shared" ref="D63" si="10">E63+F63</f>
        <v>0</v>
      </c>
      <c r="E63" s="2">
        <f>E65</f>
        <v>0</v>
      </c>
      <c r="F63" s="4">
        <f>F65</f>
        <v>0</v>
      </c>
    </row>
    <row r="64" spans="1:6" ht="18.75" x14ac:dyDescent="0.25">
      <c r="A64" s="115" t="s">
        <v>9</v>
      </c>
      <c r="B64" s="119"/>
      <c r="C64" s="119"/>
      <c r="D64" s="5"/>
      <c r="E64" s="2"/>
      <c r="F64" s="4"/>
    </row>
    <row r="65" spans="1:6" ht="93.75" x14ac:dyDescent="0.25">
      <c r="A65" s="115" t="s">
        <v>201</v>
      </c>
      <c r="B65" s="119">
        <v>244</v>
      </c>
      <c r="C65" s="119">
        <v>214</v>
      </c>
      <c r="D65" s="5">
        <f>E65+F65</f>
        <v>0</v>
      </c>
      <c r="E65" s="2">
        <f>'иные субсидии 2022 год '!E172</f>
        <v>0</v>
      </c>
      <c r="F65" s="4"/>
    </row>
    <row r="66" spans="1:6" ht="37.5" x14ac:dyDescent="0.25">
      <c r="A66" s="115" t="s">
        <v>14</v>
      </c>
      <c r="B66" s="119" t="s">
        <v>5</v>
      </c>
      <c r="C66" s="119">
        <v>220</v>
      </c>
      <c r="D66" s="5">
        <f t="shared" ref="D66" si="11">E66+F66</f>
        <v>194150</v>
      </c>
      <c r="E66" s="2">
        <f>E68+E69+E70+E78+E79+E82+E85+E86</f>
        <v>194150</v>
      </c>
      <c r="F66" s="4">
        <f>F68+F69+F70+F78+F79+F82+F85</f>
        <v>0</v>
      </c>
    </row>
    <row r="67" spans="1:6" ht="18.75" x14ac:dyDescent="0.25">
      <c r="A67" s="115" t="s">
        <v>9</v>
      </c>
      <c r="B67" s="119"/>
      <c r="C67" s="119"/>
      <c r="D67" s="5"/>
      <c r="E67" s="2"/>
      <c r="F67" s="4"/>
    </row>
    <row r="68" spans="1:6" ht="18.75" x14ac:dyDescent="0.25">
      <c r="A68" s="115" t="s">
        <v>15</v>
      </c>
      <c r="B68" s="119">
        <v>244</v>
      </c>
      <c r="C68" s="119">
        <v>221</v>
      </c>
      <c r="D68" s="5">
        <f t="shared" ref="D68:D70" si="12">E68+F68</f>
        <v>0</v>
      </c>
      <c r="E68" s="2">
        <f>'иные субсидии 2022 год '!E175</f>
        <v>0</v>
      </c>
      <c r="F68" s="4"/>
    </row>
    <row r="69" spans="1:6" ht="51" customHeight="1" x14ac:dyDescent="0.25">
      <c r="A69" s="115" t="s">
        <v>16</v>
      </c>
      <c r="B69" s="119">
        <v>244</v>
      </c>
      <c r="C69" s="119">
        <v>222</v>
      </c>
      <c r="D69" s="5">
        <f t="shared" si="12"/>
        <v>0</v>
      </c>
      <c r="E69" s="2">
        <f>'иные субсидии 2022 год '!E176</f>
        <v>0</v>
      </c>
      <c r="F69" s="4"/>
    </row>
    <row r="70" spans="1:6" ht="37.5" x14ac:dyDescent="0.25">
      <c r="A70" s="115" t="s">
        <v>17</v>
      </c>
      <c r="B70" s="119" t="s">
        <v>5</v>
      </c>
      <c r="C70" s="119">
        <v>223</v>
      </c>
      <c r="D70" s="5">
        <f t="shared" si="12"/>
        <v>0</v>
      </c>
      <c r="E70" s="2">
        <f t="shared" ref="E70:F70" si="13">E72+E73+E74+E75+E76</f>
        <v>0</v>
      </c>
      <c r="F70" s="4">
        <f t="shared" si="13"/>
        <v>0</v>
      </c>
    </row>
    <row r="71" spans="1:6" ht="18.75" x14ac:dyDescent="0.25">
      <c r="A71" s="115" t="s">
        <v>6</v>
      </c>
      <c r="B71" s="119"/>
      <c r="C71" s="119"/>
      <c r="D71" s="5"/>
      <c r="E71" s="2"/>
      <c r="F71" s="4"/>
    </row>
    <row r="72" spans="1:6" ht="68.45" customHeight="1" x14ac:dyDescent="0.25">
      <c r="A72" s="115" t="s">
        <v>18</v>
      </c>
      <c r="B72" s="119">
        <v>244</v>
      </c>
      <c r="C72" s="119">
        <v>223</v>
      </c>
      <c r="D72" s="5">
        <f t="shared" ref="D72:D78" si="14">E72+F72</f>
        <v>0</v>
      </c>
      <c r="E72" s="2">
        <f>'иные субсидии 2022 год '!E179</f>
        <v>0</v>
      </c>
      <c r="F72" s="4"/>
    </row>
    <row r="73" spans="1:6" ht="37.5" x14ac:dyDescent="0.25">
      <c r="A73" s="115" t="s">
        <v>19</v>
      </c>
      <c r="B73" s="119">
        <v>244</v>
      </c>
      <c r="C73" s="119">
        <v>223</v>
      </c>
      <c r="D73" s="5">
        <f t="shared" si="14"/>
        <v>0</v>
      </c>
      <c r="E73" s="2">
        <f>'иные субсидии 2022 год '!E180</f>
        <v>0</v>
      </c>
      <c r="F73" s="4"/>
    </row>
    <row r="74" spans="1:6" ht="75" x14ac:dyDescent="0.25">
      <c r="A74" s="115" t="s">
        <v>20</v>
      </c>
      <c r="B74" s="119">
        <v>244</v>
      </c>
      <c r="C74" s="119">
        <v>223</v>
      </c>
      <c r="D74" s="5">
        <f t="shared" si="14"/>
        <v>0</v>
      </c>
      <c r="E74" s="2">
        <f>'иные субсидии 2022 год '!E181</f>
        <v>0</v>
      </c>
      <c r="F74" s="4"/>
    </row>
    <row r="75" spans="1:6" ht="75" x14ac:dyDescent="0.25">
      <c r="A75" s="115" t="s">
        <v>21</v>
      </c>
      <c r="B75" s="119">
        <v>244</v>
      </c>
      <c r="C75" s="119">
        <v>223</v>
      </c>
      <c r="D75" s="5">
        <f t="shared" si="14"/>
        <v>0</v>
      </c>
      <c r="E75" s="2">
        <f>'иные субсидии 2022 год '!E182</f>
        <v>0</v>
      </c>
      <c r="F75" s="4"/>
    </row>
    <row r="76" spans="1:6" ht="56.25" x14ac:dyDescent="0.25">
      <c r="A76" s="115" t="s">
        <v>22</v>
      </c>
      <c r="B76" s="119">
        <v>244</v>
      </c>
      <c r="C76" s="119">
        <v>223</v>
      </c>
      <c r="D76" s="5">
        <f t="shared" si="14"/>
        <v>0</v>
      </c>
      <c r="E76" s="2">
        <f>'иные субсидии 2022 год '!E183</f>
        <v>0</v>
      </c>
      <c r="F76" s="4"/>
    </row>
    <row r="77" spans="1:6" ht="56.25" x14ac:dyDescent="0.25">
      <c r="A77" s="195" t="s">
        <v>442</v>
      </c>
      <c r="B77" s="196">
        <v>244</v>
      </c>
      <c r="C77" s="196">
        <v>223</v>
      </c>
      <c r="D77" s="5">
        <f t="shared" ref="D77" si="15">E77+F77</f>
        <v>0</v>
      </c>
      <c r="E77" s="2">
        <f>'иные субсидии 2022 год '!E184</f>
        <v>0</v>
      </c>
      <c r="F77" s="4"/>
    </row>
    <row r="78" spans="1:6" ht="168.75" x14ac:dyDescent="0.25">
      <c r="A78" s="115" t="s">
        <v>23</v>
      </c>
      <c r="B78" s="119">
        <v>244</v>
      </c>
      <c r="C78" s="119">
        <v>224</v>
      </c>
      <c r="D78" s="5">
        <f t="shared" si="14"/>
        <v>0</v>
      </c>
      <c r="E78" s="2">
        <f>'иные субсидии 2022 год '!E185</f>
        <v>0</v>
      </c>
      <c r="F78" s="4"/>
    </row>
    <row r="79" spans="1:6" ht="56.25" x14ac:dyDescent="0.25">
      <c r="A79" s="115" t="s">
        <v>24</v>
      </c>
      <c r="B79" s="119" t="s">
        <v>5</v>
      </c>
      <c r="C79" s="119">
        <v>225</v>
      </c>
      <c r="D79" s="2">
        <f t="shared" ref="D79" si="16">D80+D81</f>
        <v>0</v>
      </c>
      <c r="E79" s="2">
        <f>E80+E81</f>
        <v>0</v>
      </c>
      <c r="F79" s="4">
        <f t="shared" ref="F79" si="17">F80+F81</f>
        <v>0</v>
      </c>
    </row>
    <row r="80" spans="1:6" ht="18.75" x14ac:dyDescent="0.25">
      <c r="A80" s="221" t="s">
        <v>6</v>
      </c>
      <c r="B80" s="119">
        <v>243</v>
      </c>
      <c r="C80" s="119">
        <v>225</v>
      </c>
      <c r="D80" s="5">
        <f t="shared" ref="D80:D91" si="18">E80+F80</f>
        <v>0</v>
      </c>
      <c r="E80" s="2">
        <f>'иные субсидии 2022 год '!E187</f>
        <v>0</v>
      </c>
      <c r="F80" s="4"/>
    </row>
    <row r="81" spans="1:6" ht="18.75" x14ac:dyDescent="0.25">
      <c r="A81" s="221"/>
      <c r="B81" s="119">
        <v>244</v>
      </c>
      <c r="C81" s="119">
        <v>225</v>
      </c>
      <c r="D81" s="5">
        <f t="shared" si="18"/>
        <v>0</v>
      </c>
      <c r="E81" s="2">
        <f>'иные субсидии 2022 год '!E188</f>
        <v>0</v>
      </c>
      <c r="F81" s="4"/>
    </row>
    <row r="82" spans="1:6" ht="37.5" x14ac:dyDescent="0.25">
      <c r="A82" s="115" t="s">
        <v>58</v>
      </c>
      <c r="B82" s="119" t="s">
        <v>5</v>
      </c>
      <c r="C82" s="119">
        <v>226</v>
      </c>
      <c r="D82" s="5">
        <f t="shared" si="18"/>
        <v>194150</v>
      </c>
      <c r="E82" s="2">
        <f>E83+E84</f>
        <v>194150</v>
      </c>
      <c r="F82" s="4">
        <f>F83+F84</f>
        <v>0</v>
      </c>
    </row>
    <row r="83" spans="1:6" ht="18.75" x14ac:dyDescent="0.25">
      <c r="A83" s="221" t="s">
        <v>6</v>
      </c>
      <c r="B83" s="119">
        <v>243</v>
      </c>
      <c r="C83" s="119">
        <v>226</v>
      </c>
      <c r="D83" s="5">
        <f t="shared" si="18"/>
        <v>0</v>
      </c>
      <c r="E83" s="2">
        <f>'иные субсидии 2022 год '!E190</f>
        <v>0</v>
      </c>
      <c r="F83" s="4"/>
    </row>
    <row r="84" spans="1:6" ht="18.75" x14ac:dyDescent="0.25">
      <c r="A84" s="221"/>
      <c r="B84" s="119">
        <v>244</v>
      </c>
      <c r="C84" s="119">
        <v>226</v>
      </c>
      <c r="D84" s="5">
        <f t="shared" si="18"/>
        <v>194150</v>
      </c>
      <c r="E84" s="2">
        <f>'иные субсидии 2022 год '!E191</f>
        <v>194150</v>
      </c>
      <c r="F84" s="4"/>
    </row>
    <row r="85" spans="1:6" ht="18.75" x14ac:dyDescent="0.25">
      <c r="A85" s="115" t="s">
        <v>25</v>
      </c>
      <c r="B85" s="119">
        <v>244</v>
      </c>
      <c r="C85" s="119">
        <v>227</v>
      </c>
      <c r="D85" s="5">
        <f t="shared" si="18"/>
        <v>0</v>
      </c>
      <c r="E85" s="2">
        <f>'иные субсидии 2022 год '!E192</f>
        <v>0</v>
      </c>
      <c r="F85" s="4"/>
    </row>
    <row r="86" spans="1:6" ht="56.25" x14ac:dyDescent="0.25">
      <c r="A86" s="170" t="s">
        <v>345</v>
      </c>
      <c r="B86" s="171">
        <v>244</v>
      </c>
      <c r="C86" s="171">
        <v>228</v>
      </c>
      <c r="D86" s="5">
        <f t="shared" ref="D86" si="19">E86+F86</f>
        <v>0</v>
      </c>
      <c r="E86" s="2">
        <f>'иные субсидии 2022 год '!E193</f>
        <v>0</v>
      </c>
      <c r="F86" s="4"/>
    </row>
    <row r="87" spans="1:6" ht="18.75" x14ac:dyDescent="0.25">
      <c r="A87" s="115" t="s">
        <v>30</v>
      </c>
      <c r="B87" s="119" t="s">
        <v>5</v>
      </c>
      <c r="C87" s="119">
        <v>290</v>
      </c>
      <c r="D87" s="5">
        <f t="shared" si="18"/>
        <v>0</v>
      </c>
      <c r="E87" s="2">
        <f>E89+E90</f>
        <v>0</v>
      </c>
      <c r="F87" s="4">
        <f>F89+F90</f>
        <v>0</v>
      </c>
    </row>
    <row r="88" spans="1:6" ht="18.75" x14ac:dyDescent="0.25">
      <c r="A88" s="115" t="s">
        <v>9</v>
      </c>
      <c r="B88" s="119"/>
      <c r="C88" s="119"/>
      <c r="D88" s="5">
        <f t="shared" si="18"/>
        <v>0</v>
      </c>
      <c r="E88" s="2"/>
      <c r="F88" s="4"/>
    </row>
    <row r="89" spans="1:6" ht="76.900000000000006" customHeight="1" x14ac:dyDescent="0.25">
      <c r="A89" s="115" t="s">
        <v>34</v>
      </c>
      <c r="B89" s="119">
        <v>244</v>
      </c>
      <c r="C89" s="119">
        <v>296</v>
      </c>
      <c r="D89" s="5">
        <f t="shared" si="18"/>
        <v>0</v>
      </c>
      <c r="E89" s="2">
        <f>'иные субсидии 2022 год '!E196</f>
        <v>0</v>
      </c>
      <c r="F89" s="4"/>
    </row>
    <row r="90" spans="1:6" ht="70.150000000000006" customHeight="1" x14ac:dyDescent="0.25">
      <c r="A90" s="115" t="s">
        <v>35</v>
      </c>
      <c r="B90" s="119">
        <v>244</v>
      </c>
      <c r="C90" s="119">
        <v>297</v>
      </c>
      <c r="D90" s="5">
        <f t="shared" si="18"/>
        <v>0</v>
      </c>
      <c r="E90" s="2">
        <f>'иные субсидии 2022 год '!E197</f>
        <v>0</v>
      </c>
      <c r="F90" s="4"/>
    </row>
    <row r="91" spans="1:6" ht="56.25" x14ac:dyDescent="0.25">
      <c r="A91" s="115" t="s">
        <v>59</v>
      </c>
      <c r="B91" s="119" t="s">
        <v>5</v>
      </c>
      <c r="C91" s="119">
        <v>300</v>
      </c>
      <c r="D91" s="5">
        <f t="shared" si="18"/>
        <v>2025779.9000000001</v>
      </c>
      <c r="E91" s="2">
        <f>E93+E95+E94</f>
        <v>2025779.9000000001</v>
      </c>
      <c r="F91" s="4">
        <f>F93+F95+F94</f>
        <v>0</v>
      </c>
    </row>
    <row r="92" spans="1:6" ht="18.75" x14ac:dyDescent="0.25">
      <c r="A92" s="115" t="s">
        <v>9</v>
      </c>
      <c r="B92" s="119"/>
      <c r="C92" s="119"/>
      <c r="D92" s="5"/>
      <c r="E92" s="2"/>
      <c r="F92" s="4"/>
    </row>
    <row r="93" spans="1:6" ht="56.25" x14ac:dyDescent="0.25">
      <c r="A93" s="115" t="s">
        <v>36</v>
      </c>
      <c r="B93" s="119">
        <v>244</v>
      </c>
      <c r="C93" s="119">
        <v>310</v>
      </c>
      <c r="D93" s="5">
        <f t="shared" ref="D93:D95" si="20">E93+F93</f>
        <v>2025779.9000000001</v>
      </c>
      <c r="E93" s="2">
        <f>'иные субсидии 2022 год '!E200</f>
        <v>2025779.9000000001</v>
      </c>
      <c r="F93" s="4"/>
    </row>
    <row r="94" spans="1:6" ht="75" x14ac:dyDescent="0.25">
      <c r="A94" s="115" t="s">
        <v>68</v>
      </c>
      <c r="B94" s="119">
        <v>244</v>
      </c>
      <c r="C94" s="119">
        <v>320</v>
      </c>
      <c r="D94" s="5">
        <f t="shared" si="20"/>
        <v>0</v>
      </c>
      <c r="E94" s="2">
        <f>'иные субсидии 2022 год '!E201</f>
        <v>0</v>
      </c>
      <c r="F94" s="4"/>
    </row>
    <row r="95" spans="1:6" ht="75" x14ac:dyDescent="0.25">
      <c r="A95" s="115" t="s">
        <v>60</v>
      </c>
      <c r="B95" s="119" t="s">
        <v>5</v>
      </c>
      <c r="C95" s="119">
        <v>340</v>
      </c>
      <c r="D95" s="5">
        <f t="shared" si="20"/>
        <v>0</v>
      </c>
      <c r="E95" s="2">
        <f>E97+E98+E99+E100+E101+E102+E104</f>
        <v>0</v>
      </c>
      <c r="F95" s="4">
        <f>F97+F98+F99+F100+F101+F102+F104</f>
        <v>0</v>
      </c>
    </row>
    <row r="96" spans="1:6" ht="18.75" x14ac:dyDescent="0.25">
      <c r="A96" s="115" t="s">
        <v>6</v>
      </c>
      <c r="B96" s="119"/>
      <c r="C96" s="119"/>
      <c r="D96" s="5"/>
      <c r="E96" s="2"/>
      <c r="F96" s="4"/>
    </row>
    <row r="97" spans="1:6" ht="147" customHeight="1" x14ac:dyDescent="0.25">
      <c r="A97" s="115" t="s">
        <v>37</v>
      </c>
      <c r="B97" s="119">
        <v>244</v>
      </c>
      <c r="C97" s="119">
        <v>341</v>
      </c>
      <c r="D97" s="5">
        <f t="shared" ref="D97:D104" si="21">E97+F97</f>
        <v>0</v>
      </c>
      <c r="E97" s="2">
        <f>'иные субсидии 2022 год '!E204</f>
        <v>0</v>
      </c>
      <c r="F97" s="4"/>
    </row>
    <row r="98" spans="1:6" ht="65.45" customHeight="1" x14ac:dyDescent="0.25">
      <c r="A98" s="115" t="s">
        <v>38</v>
      </c>
      <c r="B98" s="119">
        <v>244</v>
      </c>
      <c r="C98" s="119">
        <v>342</v>
      </c>
      <c r="D98" s="5">
        <f t="shared" si="21"/>
        <v>0</v>
      </c>
      <c r="E98" s="2">
        <f>'иные субсидии 2022 год '!E205</f>
        <v>0</v>
      </c>
      <c r="F98" s="4"/>
    </row>
    <row r="99" spans="1:6" ht="87" customHeight="1" x14ac:dyDescent="0.25">
      <c r="A99" s="115" t="s">
        <v>39</v>
      </c>
      <c r="B99" s="119">
        <v>244</v>
      </c>
      <c r="C99" s="119">
        <v>343</v>
      </c>
      <c r="D99" s="5">
        <f t="shared" si="21"/>
        <v>0</v>
      </c>
      <c r="E99" s="2">
        <f>'иные субсидии 2022 год '!E206</f>
        <v>0</v>
      </c>
      <c r="F99" s="4"/>
    </row>
    <row r="100" spans="1:6" ht="75" x14ac:dyDescent="0.25">
      <c r="A100" s="115" t="s">
        <v>40</v>
      </c>
      <c r="B100" s="119">
        <v>244</v>
      </c>
      <c r="C100" s="119">
        <v>344</v>
      </c>
      <c r="D100" s="5">
        <f t="shared" si="21"/>
        <v>0</v>
      </c>
      <c r="E100" s="2">
        <f>'иные субсидии 2022 год '!E207</f>
        <v>0</v>
      </c>
      <c r="F100" s="4"/>
    </row>
    <row r="101" spans="1:6" ht="56.25" x14ac:dyDescent="0.25">
      <c r="A101" s="115" t="s">
        <v>41</v>
      </c>
      <c r="B101" s="119">
        <v>244</v>
      </c>
      <c r="C101" s="119">
        <v>345</v>
      </c>
      <c r="D101" s="5">
        <f t="shared" si="21"/>
        <v>0</v>
      </c>
      <c r="E101" s="2">
        <f>'иные субсидии 2022 год '!E208</f>
        <v>0</v>
      </c>
      <c r="F101" s="4"/>
    </row>
    <row r="102" spans="1:6" ht="88.15" customHeight="1" x14ac:dyDescent="0.25">
      <c r="A102" s="115" t="s">
        <v>42</v>
      </c>
      <c r="B102" s="119">
        <v>244</v>
      </c>
      <c r="C102" s="119">
        <v>346</v>
      </c>
      <c r="D102" s="5">
        <f t="shared" si="21"/>
        <v>0</v>
      </c>
      <c r="E102" s="2">
        <f>'иные субсидии 2022 год '!E209</f>
        <v>0</v>
      </c>
      <c r="F102" s="4"/>
    </row>
    <row r="103" spans="1:6" ht="112.5" x14ac:dyDescent="0.25">
      <c r="A103" s="173" t="s">
        <v>346</v>
      </c>
      <c r="B103" s="172">
        <v>244</v>
      </c>
      <c r="C103" s="172">
        <v>347</v>
      </c>
      <c r="D103" s="5">
        <f>E103+F103</f>
        <v>0</v>
      </c>
      <c r="E103" s="2">
        <f>'иные субсидии 2022 год '!E210</f>
        <v>0</v>
      </c>
      <c r="F103" s="4"/>
    </row>
    <row r="104" spans="1:6" ht="113.25" thickBot="1" x14ac:dyDescent="0.3">
      <c r="A104" s="32" t="s">
        <v>43</v>
      </c>
      <c r="B104" s="33">
        <v>244</v>
      </c>
      <c r="C104" s="33">
        <v>349</v>
      </c>
      <c r="D104" s="34">
        <f t="shared" si="21"/>
        <v>0</v>
      </c>
      <c r="E104" s="35">
        <f>'иные субсидии 2022 год '!E211</f>
        <v>0</v>
      </c>
      <c r="F104" s="100"/>
    </row>
    <row r="105" spans="1:6" ht="18.75" x14ac:dyDescent="0.25">
      <c r="A105" s="15"/>
      <c r="B105" s="19"/>
      <c r="C105" s="19"/>
      <c r="D105" s="36"/>
      <c r="E105" s="36"/>
      <c r="F105" s="36"/>
    </row>
    <row r="106" spans="1:6" x14ac:dyDescent="0.25">
      <c r="A106" s="11"/>
    </row>
    <row r="107" spans="1:6" ht="37.5" x14ac:dyDescent="0.3">
      <c r="A107" s="29" t="s">
        <v>52</v>
      </c>
      <c r="B107" s="224"/>
      <c r="C107" s="224"/>
      <c r="D107" s="10"/>
      <c r="E107" s="224" t="s">
        <v>499</v>
      </c>
      <c r="F107" s="224"/>
    </row>
    <row r="108" spans="1:6" ht="18.75" x14ac:dyDescent="0.3">
      <c r="A108" s="29"/>
      <c r="B108" s="223" t="s">
        <v>53</v>
      </c>
      <c r="C108" s="223"/>
      <c r="D108" s="10"/>
      <c r="E108" s="223" t="s">
        <v>54</v>
      </c>
      <c r="F108" s="223"/>
    </row>
    <row r="109" spans="1:6" ht="18.75" x14ac:dyDescent="0.3">
      <c r="A109" s="29"/>
      <c r="B109" s="10"/>
      <c r="C109" s="10"/>
      <c r="D109" s="10"/>
      <c r="E109" s="10"/>
      <c r="F109" s="10"/>
    </row>
    <row r="110" spans="1:6" ht="37.5" x14ac:dyDescent="0.3">
      <c r="A110" s="29" t="s">
        <v>55</v>
      </c>
      <c r="B110" s="224"/>
      <c r="C110" s="224"/>
      <c r="D110" s="10"/>
      <c r="E110" s="224" t="s">
        <v>500</v>
      </c>
      <c r="F110" s="224"/>
    </row>
    <row r="111" spans="1:6" ht="18.75" x14ac:dyDescent="0.3">
      <c r="A111" s="29"/>
      <c r="B111" s="223" t="s">
        <v>53</v>
      </c>
      <c r="C111" s="223"/>
      <c r="D111" s="10"/>
      <c r="E111" s="223" t="s">
        <v>54</v>
      </c>
      <c r="F111" s="223"/>
    </row>
    <row r="112" spans="1:6" ht="18.75" x14ac:dyDescent="0.3">
      <c r="A112" s="29"/>
      <c r="B112" s="116"/>
      <c r="C112" s="116"/>
      <c r="D112" s="10"/>
      <c r="E112" s="116"/>
      <c r="F112" s="116"/>
    </row>
    <row r="113" spans="1:6" ht="18.75" x14ac:dyDescent="0.3">
      <c r="A113" s="29" t="s">
        <v>56</v>
      </c>
      <c r="B113" s="224"/>
      <c r="C113" s="224"/>
      <c r="D113" s="10"/>
      <c r="E113" s="224" t="s">
        <v>500</v>
      </c>
      <c r="F113" s="224"/>
    </row>
    <row r="114" spans="1:6" ht="18.75" x14ac:dyDescent="0.3">
      <c r="A114" s="29"/>
      <c r="B114" s="223" t="s">
        <v>53</v>
      </c>
      <c r="C114" s="223"/>
      <c r="D114" s="10"/>
      <c r="E114" s="223" t="s">
        <v>54</v>
      </c>
      <c r="F114" s="223"/>
    </row>
    <row r="115" spans="1:6" ht="18.75" x14ac:dyDescent="0.3">
      <c r="A115" s="29" t="s">
        <v>57</v>
      </c>
      <c r="B115" s="10"/>
      <c r="C115" s="10"/>
      <c r="D115" s="10"/>
      <c r="E115" s="10"/>
      <c r="F115" s="10"/>
    </row>
    <row r="116" spans="1:6" ht="18.75" x14ac:dyDescent="0.3">
      <c r="A116" s="222" t="s">
        <v>44</v>
      </c>
      <c r="B116" s="222"/>
      <c r="C116" s="10"/>
      <c r="D116" s="10"/>
      <c r="E116" s="10"/>
      <c r="F116" s="10"/>
    </row>
  </sheetData>
  <mergeCells count="27">
    <mergeCell ref="A83:A84"/>
    <mergeCell ref="A1:F1"/>
    <mergeCell ref="A2:F2"/>
    <mergeCell ref="A5:A7"/>
    <mergeCell ref="B5:B7"/>
    <mergeCell ref="C5:C7"/>
    <mergeCell ref="D5:D7"/>
    <mergeCell ref="E5:F5"/>
    <mergeCell ref="E6:F6"/>
    <mergeCell ref="A12:F12"/>
    <mergeCell ref="A35:A36"/>
    <mergeCell ref="A38:A39"/>
    <mergeCell ref="A60:F60"/>
    <mergeCell ref="A80:A81"/>
    <mergeCell ref="B107:C107"/>
    <mergeCell ref="E107:F107"/>
    <mergeCell ref="B108:C108"/>
    <mergeCell ref="E108:F108"/>
    <mergeCell ref="B110:C110"/>
    <mergeCell ref="E110:F110"/>
    <mergeCell ref="A116:B116"/>
    <mergeCell ref="B111:C111"/>
    <mergeCell ref="E111:F111"/>
    <mergeCell ref="B113:C113"/>
    <mergeCell ref="E113:F113"/>
    <mergeCell ref="B114:C114"/>
    <mergeCell ref="E114:F114"/>
  </mergeCells>
  <pageMargins left="1.3779527559055118" right="0.39370078740157483" top="0.98425196850393704" bottom="0.78740157480314965" header="0.31496062992125984" footer="0.31496062992125984"/>
  <pageSetup paperSize="9" scale="72" firstPageNumber="12" orientation="portrait" useFirstPageNumber="1" r:id="rId1"/>
  <rowBreaks count="1" manualBreakCount="1">
    <brk id="96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5"/>
  <sheetViews>
    <sheetView view="pageBreakPreview" topLeftCell="A28" zoomScaleNormal="100" zoomScaleSheetLayoutView="100" workbookViewId="0">
      <selection activeCell="F44" sqref="F44"/>
    </sheetView>
  </sheetViews>
  <sheetFormatPr defaultColWidth="8.85546875" defaultRowHeight="15" x14ac:dyDescent="0.25"/>
  <cols>
    <col min="1" max="1" width="23.5703125" style="7" customWidth="1"/>
    <col min="2" max="2" width="15.28515625" style="7" customWidth="1"/>
    <col min="3" max="7" width="16.42578125" style="7" customWidth="1"/>
    <col min="8" max="16384" width="8.85546875" style="7"/>
  </cols>
  <sheetData>
    <row r="1" spans="1:7" ht="18.75" x14ac:dyDescent="0.25">
      <c r="A1" s="6"/>
      <c r="E1" s="319"/>
      <c r="F1" s="319"/>
      <c r="G1" s="319"/>
    </row>
    <row r="2" spans="1:7" ht="40.15" customHeight="1" x14ac:dyDescent="0.25">
      <c r="A2" s="289" t="s">
        <v>482</v>
      </c>
      <c r="B2" s="289"/>
      <c r="C2" s="289"/>
      <c r="D2" s="289"/>
      <c r="E2" s="289"/>
      <c r="F2" s="289"/>
      <c r="G2" s="289"/>
    </row>
    <row r="3" spans="1:7" ht="18.75" x14ac:dyDescent="0.25">
      <c r="A3" s="108"/>
      <c r="B3" s="108"/>
      <c r="C3" s="108"/>
      <c r="D3" s="108"/>
      <c r="E3" s="108"/>
      <c r="F3" s="108"/>
      <c r="G3" s="108"/>
    </row>
    <row r="4" spans="1:7" ht="35.450000000000003" customHeight="1" x14ac:dyDescent="0.25">
      <c r="A4" s="289" t="s">
        <v>483</v>
      </c>
      <c r="B4" s="289"/>
      <c r="C4" s="289"/>
      <c r="D4" s="289"/>
      <c r="E4" s="289"/>
      <c r="F4" s="289"/>
      <c r="G4" s="289"/>
    </row>
    <row r="5" spans="1:7" ht="18.75" x14ac:dyDescent="0.25">
      <c r="A5" s="105"/>
    </row>
    <row r="6" spans="1:7" ht="18.75" x14ac:dyDescent="0.25">
      <c r="A6" s="289" t="s">
        <v>187</v>
      </c>
      <c r="B6" s="289"/>
      <c r="C6" s="289"/>
      <c r="D6" s="289"/>
      <c r="E6" s="289"/>
      <c r="F6" s="289"/>
      <c r="G6" s="289"/>
    </row>
    <row r="7" spans="1:7" ht="18.75" x14ac:dyDescent="0.25">
      <c r="A7" s="105"/>
    </row>
    <row r="8" spans="1:7" ht="18.75" x14ac:dyDescent="0.3">
      <c r="A8" s="9" t="s">
        <v>255</v>
      </c>
      <c r="B8" s="10">
        <v>150</v>
      </c>
    </row>
    <row r="9" spans="1:7" x14ac:dyDescent="0.25">
      <c r="A9" s="11"/>
    </row>
    <row r="10" spans="1:7" ht="58.9" customHeight="1" x14ac:dyDescent="0.25">
      <c r="A10" s="106" t="s">
        <v>86</v>
      </c>
      <c r="B10" s="275" t="s">
        <v>172</v>
      </c>
      <c r="C10" s="275"/>
      <c r="D10" s="275" t="s">
        <v>173</v>
      </c>
      <c r="E10" s="275"/>
      <c r="F10" s="257" t="s">
        <v>171</v>
      </c>
      <c r="G10" s="258"/>
    </row>
    <row r="11" spans="1:7" ht="18.75" x14ac:dyDescent="0.25">
      <c r="A11" s="106">
        <v>1</v>
      </c>
      <c r="B11" s="275">
        <v>2</v>
      </c>
      <c r="C11" s="275"/>
      <c r="D11" s="275">
        <v>3</v>
      </c>
      <c r="E11" s="275"/>
      <c r="F11" s="275">
        <v>4</v>
      </c>
      <c r="G11" s="275"/>
    </row>
    <row r="12" spans="1:7" ht="18.75" x14ac:dyDescent="0.25">
      <c r="A12" s="13" t="s">
        <v>184</v>
      </c>
      <c r="B12" s="275" t="s">
        <v>117</v>
      </c>
      <c r="C12" s="275"/>
      <c r="D12" s="275" t="s">
        <v>117</v>
      </c>
      <c r="E12" s="275"/>
      <c r="F12" s="281">
        <f>'иные субсидии 2022 год '!E12</f>
        <v>2219929.9000000004</v>
      </c>
      <c r="G12" s="281"/>
    </row>
    <row r="13" spans="1:7" ht="18.75" x14ac:dyDescent="0.25">
      <c r="A13" s="105"/>
    </row>
    <row r="14" spans="1:7" ht="18.75" x14ac:dyDescent="0.25">
      <c r="A14" s="15"/>
      <c r="B14" s="19"/>
      <c r="C14" s="19"/>
      <c r="D14" s="19"/>
      <c r="E14" s="19"/>
      <c r="F14" s="19"/>
      <c r="G14" s="19"/>
    </row>
    <row r="15" spans="1:7" ht="48.6" customHeight="1" x14ac:dyDescent="0.25">
      <c r="A15" s="289" t="s">
        <v>484</v>
      </c>
      <c r="B15" s="289"/>
      <c r="C15" s="289"/>
      <c r="D15" s="289"/>
      <c r="E15" s="289"/>
      <c r="F15" s="289"/>
      <c r="G15" s="289"/>
    </row>
    <row r="16" spans="1:7" ht="18.75" x14ac:dyDescent="0.25">
      <c r="A16" s="8"/>
    </row>
    <row r="17" spans="1:7" ht="18.75" x14ac:dyDescent="0.25">
      <c r="A17" s="29"/>
    </row>
    <row r="18" spans="1:7" ht="18.75" x14ac:dyDescent="0.25">
      <c r="A18" s="274" t="s">
        <v>221</v>
      </c>
      <c r="B18" s="274"/>
      <c r="C18" s="274"/>
      <c r="D18" s="274"/>
      <c r="E18" s="274"/>
      <c r="F18" s="274"/>
      <c r="G18" s="274"/>
    </row>
    <row r="19" spans="1:7" ht="18.75" x14ac:dyDescent="0.25">
      <c r="A19" s="9"/>
    </row>
    <row r="20" spans="1:7" ht="18.75" x14ac:dyDescent="0.3">
      <c r="A20" s="9" t="s">
        <v>145</v>
      </c>
      <c r="B20" s="10">
        <v>244</v>
      </c>
    </row>
    <row r="21" spans="1:7" ht="18.75" x14ac:dyDescent="0.25">
      <c r="A21" s="8"/>
    </row>
    <row r="22" spans="1:7" ht="30" customHeight="1" x14ac:dyDescent="0.25">
      <c r="A22" s="275" t="s">
        <v>86</v>
      </c>
      <c r="B22" s="275"/>
      <c r="C22" s="275"/>
      <c r="D22" s="275" t="s">
        <v>137</v>
      </c>
      <c r="E22" s="275"/>
      <c r="F22" s="275" t="s">
        <v>138</v>
      </c>
      <c r="G22" s="275"/>
    </row>
    <row r="23" spans="1:7" ht="18.75" x14ac:dyDescent="0.3">
      <c r="A23" s="257">
        <v>1</v>
      </c>
      <c r="B23" s="286"/>
      <c r="C23" s="258"/>
      <c r="D23" s="248">
        <v>2</v>
      </c>
      <c r="E23" s="249"/>
      <c r="F23" s="248">
        <v>3</v>
      </c>
      <c r="G23" s="249"/>
    </row>
    <row r="24" spans="1:7" ht="57" customHeight="1" x14ac:dyDescent="0.25">
      <c r="A24" s="252" t="s">
        <v>495</v>
      </c>
      <c r="B24" s="253"/>
      <c r="C24" s="254"/>
      <c r="D24" s="317" t="s">
        <v>496</v>
      </c>
      <c r="E24" s="318"/>
      <c r="F24" s="299">
        <v>194150</v>
      </c>
      <c r="G24" s="300"/>
    </row>
    <row r="25" spans="1:7" ht="18.75" x14ac:dyDescent="0.25">
      <c r="A25" s="252" t="s">
        <v>146</v>
      </c>
      <c r="B25" s="253"/>
      <c r="C25" s="254"/>
      <c r="D25" s="283"/>
      <c r="E25" s="284"/>
      <c r="F25" s="299">
        <f>'иные субсидии 2022 год '!D54</f>
        <v>194150</v>
      </c>
      <c r="G25" s="300"/>
    </row>
    <row r="26" spans="1:7" ht="18.75" x14ac:dyDescent="0.25">
      <c r="A26" s="8"/>
    </row>
    <row r="27" spans="1:7" ht="18.75" x14ac:dyDescent="0.25">
      <c r="A27" s="274" t="s">
        <v>224</v>
      </c>
      <c r="B27" s="274"/>
      <c r="C27" s="274"/>
      <c r="D27" s="274"/>
      <c r="E27" s="274"/>
      <c r="F27" s="274"/>
      <c r="G27" s="274"/>
    </row>
    <row r="28" spans="1:7" ht="18.75" x14ac:dyDescent="0.25">
      <c r="A28" s="9"/>
    </row>
    <row r="29" spans="1:7" ht="18.75" x14ac:dyDescent="0.3">
      <c r="A29" s="9" t="s">
        <v>145</v>
      </c>
      <c r="B29" s="10">
        <v>244</v>
      </c>
    </row>
    <row r="30" spans="1:7" ht="18.75" x14ac:dyDescent="0.25">
      <c r="A30" s="8"/>
    </row>
    <row r="31" spans="1:7" ht="54.6" customHeight="1" x14ac:dyDescent="0.25">
      <c r="A31" s="179" t="s">
        <v>86</v>
      </c>
      <c r="B31" s="275" t="s">
        <v>142</v>
      </c>
      <c r="C31" s="275"/>
      <c r="D31" s="275" t="s">
        <v>143</v>
      </c>
      <c r="E31" s="275"/>
      <c r="F31" s="275" t="s">
        <v>150</v>
      </c>
      <c r="G31" s="275"/>
    </row>
    <row r="32" spans="1:7" ht="18.75" x14ac:dyDescent="0.25">
      <c r="A32" s="179">
        <v>1</v>
      </c>
      <c r="B32" s="257">
        <v>2</v>
      </c>
      <c r="C32" s="258"/>
      <c r="D32" s="257">
        <v>3</v>
      </c>
      <c r="E32" s="258"/>
      <c r="F32" s="257">
        <v>4</v>
      </c>
      <c r="G32" s="258"/>
    </row>
    <row r="33" spans="1:7" ht="37.5" x14ac:dyDescent="0.25">
      <c r="A33" s="13" t="s">
        <v>144</v>
      </c>
      <c r="B33" s="257">
        <v>1</v>
      </c>
      <c r="C33" s="258"/>
      <c r="D33" s="255">
        <v>2369333.33</v>
      </c>
      <c r="E33" s="256"/>
      <c r="F33" s="255">
        <f>'иные субсидии 2022 год '!E89</f>
        <v>2025779.9000000001</v>
      </c>
      <c r="G33" s="256"/>
    </row>
    <row r="34" spans="1:7" ht="18.75" x14ac:dyDescent="0.25">
      <c r="A34" s="13" t="s">
        <v>146</v>
      </c>
      <c r="B34" s="257"/>
      <c r="C34" s="258"/>
      <c r="D34" s="257"/>
      <c r="E34" s="258"/>
      <c r="F34" s="255">
        <f>F33</f>
        <v>2025779.9000000001</v>
      </c>
      <c r="G34" s="256"/>
    </row>
    <row r="35" spans="1:7" ht="18.75" x14ac:dyDescent="0.25">
      <c r="A35" s="29"/>
    </row>
    <row r="36" spans="1:7" ht="37.5" x14ac:dyDescent="0.3">
      <c r="A36" s="29" t="s">
        <v>151</v>
      </c>
      <c r="B36" s="10"/>
      <c r="C36" s="224"/>
      <c r="D36" s="224"/>
      <c r="E36" s="10"/>
      <c r="F36" s="224" t="s">
        <v>499</v>
      </c>
      <c r="G36" s="224"/>
    </row>
    <row r="37" spans="1:7" ht="18.75" x14ac:dyDescent="0.3">
      <c r="A37" s="29"/>
      <c r="B37" s="10"/>
      <c r="C37" s="223" t="s">
        <v>53</v>
      </c>
      <c r="D37" s="223"/>
      <c r="E37" s="10"/>
      <c r="F37" s="223" t="s">
        <v>54</v>
      </c>
      <c r="G37" s="223"/>
    </row>
    <row r="38" spans="1:7" ht="18.75" x14ac:dyDescent="0.3">
      <c r="A38" s="29"/>
      <c r="B38" s="10"/>
      <c r="C38" s="104"/>
      <c r="D38" s="104"/>
      <c r="E38" s="10"/>
      <c r="F38" s="104"/>
      <c r="G38" s="104"/>
    </row>
    <row r="39" spans="1:7" ht="56.25" x14ac:dyDescent="0.3">
      <c r="A39" s="29" t="s">
        <v>152</v>
      </c>
      <c r="B39" s="10"/>
      <c r="C39" s="224"/>
      <c r="D39" s="224"/>
      <c r="E39" s="10"/>
      <c r="F39" s="224" t="s">
        <v>500</v>
      </c>
      <c r="G39" s="224"/>
    </row>
    <row r="40" spans="1:7" ht="18.75" x14ac:dyDescent="0.3">
      <c r="A40" s="29"/>
      <c r="B40" s="10"/>
      <c r="C40" s="223" t="s">
        <v>53</v>
      </c>
      <c r="D40" s="223"/>
      <c r="E40" s="10"/>
      <c r="F40" s="223" t="s">
        <v>54</v>
      </c>
      <c r="G40" s="223"/>
    </row>
    <row r="41" spans="1:7" ht="18.75" x14ac:dyDescent="0.3">
      <c r="A41" s="29"/>
      <c r="B41" s="10"/>
      <c r="C41" s="104"/>
      <c r="D41" s="104"/>
      <c r="E41" s="10"/>
      <c r="F41" s="104"/>
      <c r="G41" s="104"/>
    </row>
    <row r="42" spans="1:7" ht="18.75" x14ac:dyDescent="0.3">
      <c r="A42" s="29" t="s">
        <v>153</v>
      </c>
      <c r="B42" s="10"/>
      <c r="C42" s="224"/>
      <c r="D42" s="224"/>
      <c r="E42" s="10"/>
      <c r="F42" s="224" t="s">
        <v>500</v>
      </c>
      <c r="G42" s="224"/>
    </row>
    <row r="43" spans="1:7" ht="18.75" x14ac:dyDescent="0.3">
      <c r="A43" s="29"/>
      <c r="B43" s="10"/>
      <c r="C43" s="223" t="s">
        <v>53</v>
      </c>
      <c r="D43" s="223"/>
      <c r="E43" s="10"/>
      <c r="F43" s="223" t="s">
        <v>54</v>
      </c>
      <c r="G43" s="223"/>
    </row>
    <row r="44" spans="1:7" ht="18.75" x14ac:dyDescent="0.3">
      <c r="A44" s="29" t="s">
        <v>154</v>
      </c>
      <c r="B44" s="10"/>
      <c r="C44" s="10"/>
      <c r="D44" s="10"/>
      <c r="E44" s="10"/>
      <c r="F44" s="10"/>
      <c r="G44" s="10"/>
    </row>
    <row r="45" spans="1:7" ht="18.75" x14ac:dyDescent="0.3">
      <c r="A45" s="222" t="s">
        <v>44</v>
      </c>
      <c r="B45" s="222"/>
      <c r="C45" s="10"/>
      <c r="D45" s="10"/>
      <c r="E45" s="10"/>
      <c r="F45" s="10"/>
      <c r="G45" s="10"/>
    </row>
  </sheetData>
  <mergeCells count="53">
    <mergeCell ref="B33:C33"/>
    <mergeCell ref="D33:E33"/>
    <mergeCell ref="F33:G33"/>
    <mergeCell ref="B34:C34"/>
    <mergeCell ref="D34:E34"/>
    <mergeCell ref="F34:G34"/>
    <mergeCell ref="A27:G27"/>
    <mergeCell ref="B31:C31"/>
    <mergeCell ref="D31:E31"/>
    <mergeCell ref="F31:G31"/>
    <mergeCell ref="B32:C32"/>
    <mergeCell ref="D32:E32"/>
    <mergeCell ref="F32:G32"/>
    <mergeCell ref="A6:G6"/>
    <mergeCell ref="B10:C10"/>
    <mergeCell ref="D10:E10"/>
    <mergeCell ref="F10:G10"/>
    <mergeCell ref="E1:G1"/>
    <mergeCell ref="A2:G2"/>
    <mergeCell ref="A4:G4"/>
    <mergeCell ref="A18:G18"/>
    <mergeCell ref="A15:G15"/>
    <mergeCell ref="B11:C11"/>
    <mergeCell ref="D11:E11"/>
    <mergeCell ref="F11:G11"/>
    <mergeCell ref="B12:C12"/>
    <mergeCell ref="D12:E12"/>
    <mergeCell ref="F12:G12"/>
    <mergeCell ref="A22:C22"/>
    <mergeCell ref="D22:E22"/>
    <mergeCell ref="F22:G22"/>
    <mergeCell ref="A23:C23"/>
    <mergeCell ref="D23:E23"/>
    <mergeCell ref="F23:G23"/>
    <mergeCell ref="A25:C25"/>
    <mergeCell ref="D25:E25"/>
    <mergeCell ref="F25:G25"/>
    <mergeCell ref="A24:C24"/>
    <mergeCell ref="D24:E24"/>
    <mergeCell ref="F24:G24"/>
    <mergeCell ref="C36:D36"/>
    <mergeCell ref="F36:G36"/>
    <mergeCell ref="C37:D37"/>
    <mergeCell ref="F37:G37"/>
    <mergeCell ref="C39:D39"/>
    <mergeCell ref="F39:G39"/>
    <mergeCell ref="A45:B45"/>
    <mergeCell ref="C40:D40"/>
    <mergeCell ref="F40:G40"/>
    <mergeCell ref="C42:D42"/>
    <mergeCell ref="F42:G42"/>
    <mergeCell ref="C43:D43"/>
    <mergeCell ref="F43:G43"/>
  </mergeCells>
  <pageMargins left="1.3779527559055118" right="0.39370078740157483" top="0.98425196850393704" bottom="0.78740157480314965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25</vt:i4>
      </vt:variant>
    </vt:vector>
  </HeadingPairs>
  <TitlesOfParts>
    <vt:vector size="45" baseType="lpstr">
      <vt:lpstr>гос.зад на 2022 год </vt:lpstr>
      <vt:lpstr>Закупки гос.задание на 2022 год</vt:lpstr>
      <vt:lpstr>обоснования гос.зад 2022 </vt:lpstr>
      <vt:lpstr>платные на 2022 год </vt:lpstr>
      <vt:lpstr>Закупки платные на 2022 год</vt:lpstr>
      <vt:lpstr>обоснования плат 2022г.</vt:lpstr>
      <vt:lpstr>иные субсидии 2022 год </vt:lpstr>
      <vt:lpstr>Закупки иные на 2022 год </vt:lpstr>
      <vt:lpstr>обоснования иные 2022 </vt:lpstr>
      <vt:lpstr>гос.задание на 2023-2024 год </vt:lpstr>
      <vt:lpstr>Закупки гос.зад на 2023-2024</vt:lpstr>
      <vt:lpstr>обоснования гос.зад 2023г</vt:lpstr>
      <vt:lpstr>обоснования гос.зад 2024г</vt:lpstr>
      <vt:lpstr>платные на 2022-2023 год</vt:lpstr>
      <vt:lpstr>Закупки платные на 2022-2023</vt:lpstr>
      <vt:lpstr>обоснования плат 2022г</vt:lpstr>
      <vt:lpstr>обоснования плат 2023</vt:lpstr>
      <vt:lpstr>иные субсидии 2022-2023</vt:lpstr>
      <vt:lpstr>Закупки иные на 2022-2023</vt:lpstr>
      <vt:lpstr>ОБОСНОВАНИЯ</vt:lpstr>
      <vt:lpstr>'гос.зад на 2022 год '!Заголовки_для_печати</vt:lpstr>
      <vt:lpstr>'гос.задание на 2023-2024 год '!Заголовки_для_печати</vt:lpstr>
      <vt:lpstr>'Закупки гос.зад на 2023-2024'!Заголовки_для_печати</vt:lpstr>
      <vt:lpstr>'Закупки гос.задание на 2022 год'!Заголовки_для_печати</vt:lpstr>
      <vt:lpstr>'Закупки иные на 2022 год '!Заголовки_для_печати</vt:lpstr>
      <vt:lpstr>'Закупки иные на 2022-2023'!Заголовки_для_печати</vt:lpstr>
      <vt:lpstr>'Закупки платные на 2022 год'!Заголовки_для_печати</vt:lpstr>
      <vt:lpstr>'Закупки платные на 2022-2023'!Заголовки_для_печати</vt:lpstr>
      <vt:lpstr>'иные субсидии 2022 год '!Заголовки_для_печати</vt:lpstr>
      <vt:lpstr>'иные субсидии 2022-2023'!Заголовки_для_печати</vt:lpstr>
      <vt:lpstr>'платные на 2022 год '!Заголовки_для_печати</vt:lpstr>
      <vt:lpstr>'платные на 2022-2023 год'!Заголовки_для_печати</vt:lpstr>
      <vt:lpstr>'гос.зад на 2022 год '!Область_печати</vt:lpstr>
      <vt:lpstr>'гос.задание на 2023-2024 год '!Область_печати</vt:lpstr>
      <vt:lpstr>'иные субсидии 2022 год '!Область_печати</vt:lpstr>
      <vt:lpstr>'иные субсидии 2022-2023'!Область_печати</vt:lpstr>
      <vt:lpstr>'обоснования гос.зад 2022 '!Область_печати</vt:lpstr>
      <vt:lpstr>'обоснования гос.зад 2023г'!Область_печати</vt:lpstr>
      <vt:lpstr>'обоснования гос.зад 2024г'!Область_печати</vt:lpstr>
      <vt:lpstr>'обоснования иные 2022 '!Область_печати</vt:lpstr>
      <vt:lpstr>'обоснования плат 2022г'!Область_печати</vt:lpstr>
      <vt:lpstr>'обоснования плат 2022г.'!Область_печати</vt:lpstr>
      <vt:lpstr>'обоснования плат 2023'!Область_печати</vt:lpstr>
      <vt:lpstr>'платные на 2022 год '!Область_печати</vt:lpstr>
      <vt:lpstr>'платные на 2022-2023 год'!Область_печати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</cp:lastModifiedBy>
  <cp:lastPrinted>2022-12-07T11:23:20Z</cp:lastPrinted>
  <dcterms:created xsi:type="dcterms:W3CDTF">2019-11-07T09:21:57Z</dcterms:created>
  <dcterms:modified xsi:type="dcterms:W3CDTF">2022-12-13T07:25:03Z</dcterms:modified>
</cp:coreProperties>
</file>