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\Desktop\Мои документы ГБУК\ПФХД\2022\"/>
    </mc:Choice>
  </mc:AlternateContent>
  <bookViews>
    <workbookView xWindow="0" yWindow="0" windowWidth="28800" windowHeight="12330"/>
  </bookViews>
  <sheets>
    <sheet name="гос.зад на 2022 год " sheetId="9" r:id="rId1"/>
    <sheet name="Закупки гос.задание на 2022 год" sheetId="1" r:id="rId2"/>
    <sheet name="обоснования гос.зад 2022 " sheetId="28" r:id="rId3"/>
    <sheet name="платные на 2022 год " sheetId="11" r:id="rId4"/>
    <sheet name="Закупки платные на 2022 год" sheetId="30" r:id="rId5"/>
    <sheet name="обоснования плат 2022г." sheetId="15" r:id="rId6"/>
    <sheet name="иные субсидии 2022 год " sheetId="10" r:id="rId7"/>
    <sheet name="Закупки иные на 2022 год " sheetId="13" r:id="rId8"/>
    <sheet name="обоснования иные 2022 " sheetId="29" r:id="rId9"/>
    <sheet name="гос.задание на 2023-2024 год " sheetId="5" r:id="rId10"/>
    <sheet name="Закупки гос.зад на 2023-2024" sheetId="17" r:id="rId11"/>
    <sheet name="обоснования гос.зад 2023г" sheetId="24" r:id="rId12"/>
    <sheet name="обоснования гос.зад 2024г" sheetId="32" r:id="rId13"/>
    <sheet name="платные на 2022-2023 год" sheetId="6" r:id="rId14"/>
    <sheet name="Закупки платные на 2022-2023" sheetId="18" r:id="rId15"/>
    <sheet name="обоснования плат 2022г" sheetId="26" r:id="rId16"/>
    <sheet name="обоснования плат 2023" sheetId="27" r:id="rId17"/>
    <sheet name="иные субсидии 2022-2023" sheetId="20" r:id="rId18"/>
    <sheet name="Закупки иные на 2022-2023" sheetId="19" r:id="rId19"/>
    <sheet name="ОБОСНОВАНИЯ" sheetId="14" r:id="rId20"/>
  </sheets>
  <definedNames>
    <definedName name="_xlnm._FilterDatabase" localSheetId="10" hidden="1">'Закупки гос.зад на 2023-2024'!$A$8:$F$59</definedName>
    <definedName name="_xlnm._FilterDatabase" localSheetId="1" hidden="1">'Закупки гос.задание на 2022 год'!$A$8:$F$59</definedName>
    <definedName name="_xlnm._FilterDatabase" localSheetId="7" hidden="1">'Закупки иные на 2022 год '!$A$8:$F$59</definedName>
    <definedName name="_xlnm._FilterDatabase" localSheetId="18" hidden="1">'Закупки иные на 2022-2023'!$A$8:$F$53</definedName>
    <definedName name="_xlnm._FilterDatabase" localSheetId="4" hidden="1">'Закупки платные на 2022 год'!$A$8:$F$59</definedName>
    <definedName name="_xlnm._FilterDatabase" localSheetId="14" hidden="1">'Закупки платные на 2022-2023'!$A$8:$F$53</definedName>
    <definedName name="_xlnm.Print_Titles" localSheetId="0">'гос.зад на 2022 год '!$7:$7</definedName>
    <definedName name="_xlnm.Print_Titles" localSheetId="9">'гос.задание на 2023-2024 год '!$7:$7</definedName>
    <definedName name="_xlnm.Print_Titles" localSheetId="10">'Закупки гос.зад на 2023-2024'!$8:$8</definedName>
    <definedName name="_xlnm.Print_Titles" localSheetId="1">'Закупки гос.задание на 2022 год'!$8:$8</definedName>
    <definedName name="_xlnm.Print_Titles" localSheetId="7">'Закупки иные на 2022 год '!$8:$8</definedName>
    <definedName name="_xlnm.Print_Titles" localSheetId="18">'Закупки иные на 2022-2023'!$8:$8</definedName>
    <definedName name="_xlnm.Print_Titles" localSheetId="4">'Закупки платные на 2022 год'!$8:$8</definedName>
    <definedName name="_xlnm.Print_Titles" localSheetId="14">'Закупки платные на 2022-2023'!$8:$8</definedName>
    <definedName name="_xlnm.Print_Titles" localSheetId="6">'иные субсидии 2022 год '!$7:$7</definedName>
    <definedName name="_xlnm.Print_Titles" localSheetId="17">'иные субсидии 2022-2023'!$7:$7</definedName>
    <definedName name="_xlnm.Print_Titles" localSheetId="3">'платные на 2022 год '!$7:$7</definedName>
    <definedName name="_xlnm.Print_Titles" localSheetId="13">'платные на 2022-2023 год'!$7:$7</definedName>
    <definedName name="_xlnm.Print_Area" localSheetId="0">'гос.зад на 2022 год '!$A$1:$F$118</definedName>
    <definedName name="_xlnm.Print_Area" localSheetId="9">'гос.задание на 2023-2024 год '!$A$1:$I$118</definedName>
    <definedName name="_xlnm.Print_Area" localSheetId="6">'иные субсидии 2022 год '!$A$1:$F$114</definedName>
    <definedName name="_xlnm.Print_Area" localSheetId="17">'иные субсидии 2022-2023'!$A$1:$I$115</definedName>
    <definedName name="_xlnm.Print_Area" localSheetId="2">'обоснования гос.зад 2022 '!$A$1:$G$349</definedName>
    <definedName name="_xlnm.Print_Area" localSheetId="11">'обоснования гос.зад 2023г'!$A$1:$G$325</definedName>
    <definedName name="_xlnm.Print_Area" localSheetId="12">'обоснования гос.зад 2024г'!$A$1:$G$325</definedName>
    <definedName name="_xlnm.Print_Area" localSheetId="8">'обоснования иные 2022 '!$A$1:$G$46</definedName>
    <definedName name="_xlnm.Print_Area" localSheetId="15">'обоснования плат 2022г'!$A$1:$H$406</definedName>
    <definedName name="_xlnm.Print_Area" localSheetId="5">'обоснования плат 2022г.'!$A$1:$G$132</definedName>
    <definedName name="_xlnm.Print_Area" localSheetId="16">'обоснования плат 2023'!$A$1:$K$406</definedName>
    <definedName name="_xlnm.Print_Area" localSheetId="3">'платные на 2022 год '!$A$1:$F$123</definedName>
    <definedName name="_xlnm.Print_Area" localSheetId="13">'платные на 2022-2023 год'!$A$1:$I$119</definedName>
  </definedNames>
  <calcPr calcId="162913"/>
</workbook>
</file>

<file path=xl/calcChain.xml><?xml version="1.0" encoding="utf-8"?>
<calcChain xmlns="http://schemas.openxmlformats.org/spreadsheetml/2006/main">
  <c r="E95" i="11" l="1"/>
  <c r="E59" i="11"/>
  <c r="E14" i="11"/>
  <c r="E13" i="11"/>
  <c r="E101" i="9"/>
  <c r="E48" i="9"/>
  <c r="E46" i="9"/>
  <c r="E54" i="9"/>
  <c r="E106" i="11" l="1"/>
  <c r="D15" i="5"/>
  <c r="G15" i="5"/>
  <c r="D14" i="5"/>
  <c r="G14" i="5"/>
  <c r="D81" i="20"/>
  <c r="G81" i="20"/>
  <c r="D83" i="6"/>
  <c r="G83" i="6"/>
  <c r="D82" i="5"/>
  <c r="G82" i="5"/>
  <c r="D78" i="10"/>
  <c r="E82" i="11"/>
  <c r="D82" i="11" s="1"/>
  <c r="D87" i="11"/>
  <c r="D82" i="9"/>
  <c r="E77" i="11" l="1"/>
  <c r="F109" i="28" l="1"/>
  <c r="F26" i="28"/>
  <c r="F25" i="28"/>
  <c r="F24" i="28"/>
  <c r="F71" i="28"/>
  <c r="F28" i="28"/>
  <c r="F40" i="28"/>
  <c r="F39" i="28"/>
  <c r="F45" i="28"/>
  <c r="F44" i="28"/>
  <c r="F43" i="28"/>
  <c r="F76" i="28"/>
  <c r="F74" i="28"/>
  <c r="F73" i="28"/>
  <c r="F72" i="28"/>
  <c r="F34" i="28"/>
  <c r="F33" i="28"/>
  <c r="F32" i="28"/>
  <c r="F29" i="28"/>
  <c r="F27" i="28"/>
  <c r="F23" i="28"/>
  <c r="G112" i="28"/>
  <c r="E57" i="11" l="1"/>
  <c r="E28" i="9"/>
  <c r="E26" i="9"/>
  <c r="E14" i="9"/>
  <c r="E149" i="9" l="1"/>
  <c r="E146" i="9"/>
  <c r="E65" i="9"/>
  <c r="F312" i="32" l="1"/>
  <c r="F299" i="32"/>
  <c r="F295" i="32"/>
  <c r="F291" i="32"/>
  <c r="F289" i="32"/>
  <c r="F287" i="32"/>
  <c r="F285" i="32"/>
  <c r="F283" i="32"/>
  <c r="F264" i="32"/>
  <c r="F246" i="32"/>
  <c r="F216" i="32"/>
  <c r="F209" i="32"/>
  <c r="F206" i="32"/>
  <c r="F204" i="32"/>
  <c r="F203" i="32"/>
  <c r="F202" i="32"/>
  <c r="F201" i="32"/>
  <c r="F200" i="32"/>
  <c r="F199" i="32"/>
  <c r="F198" i="32"/>
  <c r="F197" i="32"/>
  <c r="F196" i="32"/>
  <c r="F195" i="32"/>
  <c r="F168" i="32"/>
  <c r="F167" i="32"/>
  <c r="F164" i="32"/>
  <c r="F163" i="32"/>
  <c r="D119" i="32"/>
  <c r="D110" i="32"/>
  <c r="D111" i="32" s="1"/>
  <c r="D112" i="32" s="1"/>
  <c r="B110" i="32"/>
  <c r="B111" i="32" s="1"/>
  <c r="F109" i="32"/>
  <c r="C109" i="32" s="1"/>
  <c r="G109" i="32" s="1"/>
  <c r="G108" i="32"/>
  <c r="F108" i="32"/>
  <c r="C108" i="32"/>
  <c r="F107" i="32"/>
  <c r="C107" i="32" s="1"/>
  <c r="G107" i="32" s="1"/>
  <c r="F106" i="32"/>
  <c r="C106" i="32"/>
  <c r="G106" i="32" s="1"/>
  <c r="F105" i="32"/>
  <c r="C105" i="32" s="1"/>
  <c r="G105" i="32" s="1"/>
  <c r="G104" i="32"/>
  <c r="F104" i="32"/>
  <c r="C104" i="32"/>
  <c r="F103" i="32"/>
  <c r="F110" i="32" s="1"/>
  <c r="E101" i="32"/>
  <c r="D101" i="32"/>
  <c r="B101" i="32"/>
  <c r="G100" i="32"/>
  <c r="F100" i="32"/>
  <c r="C100" i="32"/>
  <c r="F99" i="32"/>
  <c r="C99" i="32" s="1"/>
  <c r="G99" i="32" s="1"/>
  <c r="F98" i="32"/>
  <c r="F101" i="32" s="1"/>
  <c r="C98" i="32"/>
  <c r="E96" i="32"/>
  <c r="D96" i="32"/>
  <c r="B96" i="32"/>
  <c r="F95" i="32"/>
  <c r="C95" i="32" s="1"/>
  <c r="G95" i="32" s="1"/>
  <c r="F94" i="32"/>
  <c r="C94" i="32"/>
  <c r="G94" i="32" s="1"/>
  <c r="F93" i="32"/>
  <c r="C93" i="32" s="1"/>
  <c r="G93" i="32" s="1"/>
  <c r="G92" i="32"/>
  <c r="F92" i="32"/>
  <c r="C92" i="32"/>
  <c r="F91" i="32"/>
  <c r="C91" i="32" s="1"/>
  <c r="G91" i="32" s="1"/>
  <c r="F90" i="32"/>
  <c r="C90" i="32"/>
  <c r="G90" i="32" s="1"/>
  <c r="F89" i="32"/>
  <c r="C89" i="32" s="1"/>
  <c r="G89" i="32" s="1"/>
  <c r="G88" i="32"/>
  <c r="F88" i="32"/>
  <c r="C88" i="32"/>
  <c r="F87" i="32"/>
  <c r="C87" i="32" s="1"/>
  <c r="G87" i="32" s="1"/>
  <c r="F86" i="32"/>
  <c r="F96" i="32" s="1"/>
  <c r="C86" i="32"/>
  <c r="E84" i="32"/>
  <c r="D84" i="32"/>
  <c r="B84" i="32"/>
  <c r="F83" i="32"/>
  <c r="C83" i="32" s="1"/>
  <c r="G83" i="32" s="1"/>
  <c r="F82" i="32"/>
  <c r="C82" i="32"/>
  <c r="G82" i="32" s="1"/>
  <c r="F81" i="32"/>
  <c r="C81" i="32" s="1"/>
  <c r="G81" i="32" s="1"/>
  <c r="G80" i="32"/>
  <c r="F80" i="32"/>
  <c r="C80" i="32"/>
  <c r="F79" i="32"/>
  <c r="C79" i="32" s="1"/>
  <c r="E77" i="32"/>
  <c r="D77" i="32"/>
  <c r="B77" i="32"/>
  <c r="G76" i="32"/>
  <c r="F76" i="32"/>
  <c r="C76" i="32"/>
  <c r="F75" i="32"/>
  <c r="C75" i="32" s="1"/>
  <c r="G75" i="32" s="1"/>
  <c r="F74" i="32"/>
  <c r="C74" i="32"/>
  <c r="G74" i="32" s="1"/>
  <c r="F73" i="32"/>
  <c r="C73" i="32" s="1"/>
  <c r="G73" i="32" s="1"/>
  <c r="G72" i="32"/>
  <c r="F72" i="32"/>
  <c r="C72" i="32"/>
  <c r="F71" i="32"/>
  <c r="C71" i="32" s="1"/>
  <c r="D68" i="32"/>
  <c r="B68" i="32"/>
  <c r="G67" i="32"/>
  <c r="F67" i="32"/>
  <c r="C67" i="32"/>
  <c r="F66" i="32"/>
  <c r="C66" i="32" s="1"/>
  <c r="G66" i="32" s="1"/>
  <c r="F65" i="32"/>
  <c r="C65" i="32"/>
  <c r="G65" i="32" s="1"/>
  <c r="F64" i="32"/>
  <c r="C64" i="32" s="1"/>
  <c r="G64" i="32" s="1"/>
  <c r="G63" i="32"/>
  <c r="F63" i="32"/>
  <c r="C63" i="32"/>
  <c r="F62" i="32"/>
  <c r="C62" i="32" s="1"/>
  <c r="G62" i="32" s="1"/>
  <c r="F61" i="32"/>
  <c r="C61" i="32"/>
  <c r="E59" i="32"/>
  <c r="D59" i="32"/>
  <c r="B59" i="32"/>
  <c r="F58" i="32"/>
  <c r="C58" i="32" s="1"/>
  <c r="G58" i="32" s="1"/>
  <c r="F57" i="32"/>
  <c r="C57" i="32"/>
  <c r="C59" i="32" s="1"/>
  <c r="E55" i="32"/>
  <c r="D55" i="32"/>
  <c r="D69" i="32" s="1"/>
  <c r="B55" i="32"/>
  <c r="F54" i="32"/>
  <c r="C54" i="32" s="1"/>
  <c r="G54" i="32" s="1"/>
  <c r="F53" i="32"/>
  <c r="C53" i="32"/>
  <c r="G53" i="32" s="1"/>
  <c r="F52" i="32"/>
  <c r="C52" i="32" s="1"/>
  <c r="G52" i="32" s="1"/>
  <c r="G51" i="32"/>
  <c r="F51" i="32"/>
  <c r="C51" i="32"/>
  <c r="F50" i="32"/>
  <c r="C50" i="32" s="1"/>
  <c r="G50" i="32" s="1"/>
  <c r="F49" i="32"/>
  <c r="C49" i="32"/>
  <c r="G49" i="32" s="1"/>
  <c r="F48" i="32"/>
  <c r="F55" i="32" s="1"/>
  <c r="E46" i="32"/>
  <c r="D46" i="32"/>
  <c r="B46" i="32"/>
  <c r="F45" i="32"/>
  <c r="C45" i="32"/>
  <c r="G45" i="32" s="1"/>
  <c r="F44" i="32"/>
  <c r="C44" i="32" s="1"/>
  <c r="G43" i="32"/>
  <c r="F43" i="32"/>
  <c r="F46" i="32" s="1"/>
  <c r="C43" i="32"/>
  <c r="F41" i="32"/>
  <c r="D41" i="32"/>
  <c r="B41" i="32"/>
  <c r="F40" i="32"/>
  <c r="C40" i="32" s="1"/>
  <c r="G40" i="32" s="1"/>
  <c r="G39" i="32"/>
  <c r="G41" i="32" s="1"/>
  <c r="F39" i="32"/>
  <c r="C39" i="32"/>
  <c r="C41" i="32" s="1"/>
  <c r="D37" i="32"/>
  <c r="B37" i="32"/>
  <c r="G36" i="32"/>
  <c r="F36" i="32"/>
  <c r="C36" i="32"/>
  <c r="F35" i="32"/>
  <c r="C35" i="32" s="1"/>
  <c r="G35" i="32" s="1"/>
  <c r="F34" i="32"/>
  <c r="C34" i="32"/>
  <c r="G34" i="32" s="1"/>
  <c r="F33" i="32"/>
  <c r="C33" i="32" s="1"/>
  <c r="G33" i="32" s="1"/>
  <c r="G32" i="32"/>
  <c r="F32" i="32"/>
  <c r="C32" i="32"/>
  <c r="D30" i="32"/>
  <c r="B30" i="32"/>
  <c r="B69" i="32" s="1"/>
  <c r="G29" i="32"/>
  <c r="F29" i="32"/>
  <c r="C29" i="32"/>
  <c r="F28" i="32"/>
  <c r="C28" i="32" s="1"/>
  <c r="G28" i="32" s="1"/>
  <c r="F27" i="32"/>
  <c r="C27" i="32"/>
  <c r="G27" i="32" s="1"/>
  <c r="F26" i="32"/>
  <c r="C26" i="32" s="1"/>
  <c r="G26" i="32" s="1"/>
  <c r="G25" i="32"/>
  <c r="F25" i="32"/>
  <c r="C25" i="32"/>
  <c r="F24" i="32"/>
  <c r="C24" i="32" s="1"/>
  <c r="G24" i="32" s="1"/>
  <c r="F23" i="32"/>
  <c r="C23" i="32"/>
  <c r="F11" i="32"/>
  <c r="D119" i="24"/>
  <c r="F109" i="24"/>
  <c r="F23" i="24"/>
  <c r="D110" i="24"/>
  <c r="B110" i="24"/>
  <c r="C109" i="24"/>
  <c r="G109" i="24" s="1"/>
  <c r="F108" i="24"/>
  <c r="C108" i="24" s="1"/>
  <c r="G108" i="24" s="1"/>
  <c r="F107" i="24"/>
  <c r="C107" i="24" s="1"/>
  <c r="G107" i="24" s="1"/>
  <c r="F106" i="24"/>
  <c r="C106" i="24"/>
  <c r="G106" i="24" s="1"/>
  <c r="F105" i="24"/>
  <c r="C105" i="24" s="1"/>
  <c r="G105" i="24" s="1"/>
  <c r="F104" i="24"/>
  <c r="C104" i="24" s="1"/>
  <c r="G104" i="24" s="1"/>
  <c r="F103" i="24"/>
  <c r="C103" i="24"/>
  <c r="E101" i="24"/>
  <c r="D101" i="24"/>
  <c r="B101" i="24"/>
  <c r="F100" i="24"/>
  <c r="C100" i="24" s="1"/>
  <c r="G100" i="24" s="1"/>
  <c r="F99" i="24"/>
  <c r="C99" i="24"/>
  <c r="F98" i="24"/>
  <c r="E96" i="24"/>
  <c r="D96" i="24"/>
  <c r="B96" i="24"/>
  <c r="F95" i="24"/>
  <c r="C95" i="24"/>
  <c r="G95" i="24" s="1"/>
  <c r="F94" i="24"/>
  <c r="C94" i="24" s="1"/>
  <c r="G94" i="24" s="1"/>
  <c r="F93" i="24"/>
  <c r="C93" i="24" s="1"/>
  <c r="G93" i="24" s="1"/>
  <c r="F92" i="24"/>
  <c r="C92" i="24" s="1"/>
  <c r="G92" i="24" s="1"/>
  <c r="F91" i="24"/>
  <c r="C91" i="24" s="1"/>
  <c r="G91" i="24" s="1"/>
  <c r="F90" i="24"/>
  <c r="C90" i="24"/>
  <c r="G90" i="24" s="1"/>
  <c r="F89" i="24"/>
  <c r="C89" i="24" s="1"/>
  <c r="G89" i="24" s="1"/>
  <c r="F88" i="24"/>
  <c r="F87" i="24"/>
  <c r="C87" i="24"/>
  <c r="G87" i="24" s="1"/>
  <c r="F86" i="24"/>
  <c r="C86" i="24"/>
  <c r="G86" i="24" s="1"/>
  <c r="E84" i="24"/>
  <c r="D84" i="24"/>
  <c r="B84" i="24"/>
  <c r="F83" i="24"/>
  <c r="C83" i="24" s="1"/>
  <c r="G83" i="24" s="1"/>
  <c r="F82" i="24"/>
  <c r="C82" i="24" s="1"/>
  <c r="G82" i="24" s="1"/>
  <c r="F81" i="24"/>
  <c r="C81" i="24" s="1"/>
  <c r="G81" i="24" s="1"/>
  <c r="F80" i="24"/>
  <c r="C80" i="24"/>
  <c r="G80" i="24" s="1"/>
  <c r="F79" i="24"/>
  <c r="C79" i="24"/>
  <c r="G79" i="24" s="1"/>
  <c r="E77" i="24"/>
  <c r="D77" i="24"/>
  <c r="B77" i="24"/>
  <c r="F76" i="24"/>
  <c r="C76" i="24" s="1"/>
  <c r="G76" i="24" s="1"/>
  <c r="F75" i="24"/>
  <c r="C75" i="24"/>
  <c r="G75" i="24" s="1"/>
  <c r="F74" i="24"/>
  <c r="C74" i="24" s="1"/>
  <c r="G74" i="24" s="1"/>
  <c r="F73" i="24"/>
  <c r="C73" i="24" s="1"/>
  <c r="G73" i="24" s="1"/>
  <c r="F72" i="24"/>
  <c r="C72" i="24" s="1"/>
  <c r="F71" i="24"/>
  <c r="C71" i="24" s="1"/>
  <c r="G71" i="24" s="1"/>
  <c r="D68" i="24"/>
  <c r="B68" i="24"/>
  <c r="F67" i="24"/>
  <c r="C67" i="24" s="1"/>
  <c r="G67" i="24" s="1"/>
  <c r="F66" i="24"/>
  <c r="C66" i="24" s="1"/>
  <c r="G66" i="24" s="1"/>
  <c r="F65" i="24"/>
  <c r="C65" i="24" s="1"/>
  <c r="G65" i="24" s="1"/>
  <c r="F64" i="24"/>
  <c r="C64" i="24" s="1"/>
  <c r="G64" i="24" s="1"/>
  <c r="F63" i="24"/>
  <c r="C63" i="24" s="1"/>
  <c r="G63" i="24" s="1"/>
  <c r="F62" i="24"/>
  <c r="C62" i="24" s="1"/>
  <c r="G62" i="24" s="1"/>
  <c r="F61" i="24"/>
  <c r="E59" i="24"/>
  <c r="D59" i="24"/>
  <c r="B59" i="24"/>
  <c r="F58" i="24"/>
  <c r="C58" i="24" s="1"/>
  <c r="G58" i="24" s="1"/>
  <c r="F57" i="24"/>
  <c r="F59" i="24" s="1"/>
  <c r="E55" i="24"/>
  <c r="D55" i="24"/>
  <c r="B55" i="24"/>
  <c r="F54" i="24"/>
  <c r="C54" i="24" s="1"/>
  <c r="G54" i="24" s="1"/>
  <c r="F53" i="24"/>
  <c r="C53" i="24" s="1"/>
  <c r="G53" i="24" s="1"/>
  <c r="F52" i="24"/>
  <c r="C52" i="24" s="1"/>
  <c r="G52" i="24" s="1"/>
  <c r="F51" i="24"/>
  <c r="C51" i="24" s="1"/>
  <c r="G51" i="24" s="1"/>
  <c r="F50" i="24"/>
  <c r="C50" i="24" s="1"/>
  <c r="G50" i="24" s="1"/>
  <c r="F49" i="24"/>
  <c r="C49" i="24" s="1"/>
  <c r="G49" i="24" s="1"/>
  <c r="F48" i="24"/>
  <c r="E46" i="24"/>
  <c r="D46" i="24"/>
  <c r="B46" i="24"/>
  <c r="F45" i="24"/>
  <c r="C45" i="24"/>
  <c r="G45" i="24" s="1"/>
  <c r="F44" i="24"/>
  <c r="C44" i="24" s="1"/>
  <c r="G44" i="24" s="1"/>
  <c r="F43" i="24"/>
  <c r="C43" i="24" s="1"/>
  <c r="D41" i="24"/>
  <c r="B41" i="24"/>
  <c r="F40" i="24"/>
  <c r="C40" i="24" s="1"/>
  <c r="G40" i="24" s="1"/>
  <c r="F39" i="24"/>
  <c r="C39" i="24"/>
  <c r="D37" i="24"/>
  <c r="B37" i="24"/>
  <c r="F36" i="24"/>
  <c r="C36" i="24"/>
  <c r="G36" i="24" s="1"/>
  <c r="F35" i="24"/>
  <c r="C35" i="24"/>
  <c r="G35" i="24" s="1"/>
  <c r="F34" i="24"/>
  <c r="C34" i="24" s="1"/>
  <c r="G34" i="24" s="1"/>
  <c r="F33" i="24"/>
  <c r="C33" i="24" s="1"/>
  <c r="G33" i="24" s="1"/>
  <c r="F32" i="24"/>
  <c r="C32" i="24"/>
  <c r="D30" i="24"/>
  <c r="B30" i="24"/>
  <c r="F29" i="24"/>
  <c r="C29" i="24"/>
  <c r="G29" i="24" s="1"/>
  <c r="F28" i="24"/>
  <c r="C28" i="24"/>
  <c r="G28" i="24" s="1"/>
  <c r="F27" i="24"/>
  <c r="C27" i="24" s="1"/>
  <c r="G27" i="24" s="1"/>
  <c r="F26" i="24"/>
  <c r="C26" i="24" s="1"/>
  <c r="G26" i="24" s="1"/>
  <c r="F25" i="24"/>
  <c r="C25" i="24"/>
  <c r="G25" i="24" s="1"/>
  <c r="F24" i="24"/>
  <c r="C24" i="24"/>
  <c r="G24" i="24" s="1"/>
  <c r="C23" i="24"/>
  <c r="G23" i="24" s="1"/>
  <c r="F86" i="28"/>
  <c r="F79" i="28"/>
  <c r="G108" i="28"/>
  <c r="G107" i="28"/>
  <c r="F87" i="28"/>
  <c r="F95" i="28"/>
  <c r="F94" i="28"/>
  <c r="F93" i="28"/>
  <c r="F92" i="28"/>
  <c r="F91" i="28"/>
  <c r="F90" i="28"/>
  <c r="F89" i="28"/>
  <c r="F88" i="28"/>
  <c r="F80" i="28"/>
  <c r="F83" i="28"/>
  <c r="F82" i="28"/>
  <c r="F81" i="28"/>
  <c r="F75" i="28"/>
  <c r="F108" i="28"/>
  <c r="F107" i="28"/>
  <c r="F106" i="28"/>
  <c r="F105" i="28"/>
  <c r="D77" i="28"/>
  <c r="C73" i="28"/>
  <c r="G73" i="28" s="1"/>
  <c r="B96" i="28"/>
  <c r="C95" i="28"/>
  <c r="G95" i="28" s="1"/>
  <c r="F104" i="28"/>
  <c r="F103" i="28"/>
  <c r="F98" i="28"/>
  <c r="F67" i="28"/>
  <c r="F52" i="28"/>
  <c r="F53" i="28"/>
  <c r="F63" i="28"/>
  <c r="F64" i="28"/>
  <c r="F65" i="28"/>
  <c r="F66" i="28"/>
  <c r="F61" i="28"/>
  <c r="C53" i="28"/>
  <c r="G53" i="28" s="1"/>
  <c r="C43" i="28"/>
  <c r="C63" i="28"/>
  <c r="B55" i="28"/>
  <c r="F35" i="28"/>
  <c r="C35" i="28" s="1"/>
  <c r="G35" i="28" s="1"/>
  <c r="B30" i="28"/>
  <c r="C77" i="32" l="1"/>
  <c r="G71" i="32"/>
  <c r="G77" i="32" s="1"/>
  <c r="C37" i="32"/>
  <c r="C68" i="32"/>
  <c r="C96" i="32"/>
  <c r="C101" i="32"/>
  <c r="G37" i="32"/>
  <c r="G44" i="32"/>
  <c r="G46" i="32" s="1"/>
  <c r="C46" i="32"/>
  <c r="C30" i="32"/>
  <c r="C84" i="32"/>
  <c r="G79" i="32"/>
  <c r="G84" i="32" s="1"/>
  <c r="B112" i="32"/>
  <c r="C48" i="32"/>
  <c r="F77" i="32"/>
  <c r="F30" i="32"/>
  <c r="G23" i="32"/>
  <c r="G30" i="32" s="1"/>
  <c r="G57" i="32"/>
  <c r="G59" i="32" s="1"/>
  <c r="F59" i="32"/>
  <c r="G61" i="32"/>
  <c r="G68" i="32" s="1"/>
  <c r="F84" i="32"/>
  <c r="F111" i="32" s="1"/>
  <c r="G86" i="32"/>
  <c r="G96" i="32" s="1"/>
  <c r="G98" i="32"/>
  <c r="G101" i="32" s="1"/>
  <c r="F37" i="32"/>
  <c r="F68" i="32"/>
  <c r="C103" i="32"/>
  <c r="F30" i="24"/>
  <c r="F41" i="24"/>
  <c r="F101" i="24"/>
  <c r="F37" i="24"/>
  <c r="F69" i="24" s="1"/>
  <c r="C46" i="24"/>
  <c r="F68" i="24"/>
  <c r="F46" i="24"/>
  <c r="F55" i="24"/>
  <c r="F77" i="24"/>
  <c r="F96" i="24"/>
  <c r="D111" i="24"/>
  <c r="D112" i="24" s="1"/>
  <c r="D69" i="24"/>
  <c r="B69" i="24"/>
  <c r="C57" i="24"/>
  <c r="G57" i="24" s="1"/>
  <c r="G59" i="24" s="1"/>
  <c r="F84" i="24"/>
  <c r="C98" i="24"/>
  <c r="G98" i="24" s="1"/>
  <c r="B111" i="24"/>
  <c r="G30" i="24"/>
  <c r="C77" i="24"/>
  <c r="B112" i="24"/>
  <c r="C37" i="24"/>
  <c r="C41" i="24"/>
  <c r="G84" i="24"/>
  <c r="C110" i="24"/>
  <c r="C30" i="24"/>
  <c r="F110" i="24"/>
  <c r="G32" i="24"/>
  <c r="G37" i="24" s="1"/>
  <c r="G39" i="24"/>
  <c r="G41" i="24" s="1"/>
  <c r="G43" i="24"/>
  <c r="G46" i="24" s="1"/>
  <c r="C61" i="24"/>
  <c r="G72" i="24"/>
  <c r="G77" i="24" s="1"/>
  <c r="C84" i="24"/>
  <c r="C48" i="24"/>
  <c r="G99" i="24"/>
  <c r="G103" i="24"/>
  <c r="G110" i="24" s="1"/>
  <c r="C88" i="24"/>
  <c r="G88" i="24" s="1"/>
  <c r="G96" i="24" s="1"/>
  <c r="E55" i="28"/>
  <c r="D55" i="28"/>
  <c r="F54" i="28"/>
  <c r="F58" i="28"/>
  <c r="F57" i="28"/>
  <c r="F50" i="28"/>
  <c r="F51" i="28"/>
  <c r="C110" i="32" l="1"/>
  <c r="C111" i="32" s="1"/>
  <c r="G103" i="32"/>
  <c r="G110" i="32" s="1"/>
  <c r="G111" i="32" s="1"/>
  <c r="G112" i="32" s="1"/>
  <c r="C55" i="32"/>
  <c r="G48" i="32"/>
  <c r="G55" i="32" s="1"/>
  <c r="G69" i="32"/>
  <c r="F69" i="32"/>
  <c r="F112" i="32" s="1"/>
  <c r="C69" i="32"/>
  <c r="C59" i="24"/>
  <c r="G101" i="24"/>
  <c r="C101" i="24"/>
  <c r="F111" i="24"/>
  <c r="F112" i="24" s="1"/>
  <c r="C68" i="24"/>
  <c r="G61" i="24"/>
  <c r="G68" i="24" s="1"/>
  <c r="C96" i="24"/>
  <c r="C111" i="24" s="1"/>
  <c r="C55" i="24"/>
  <c r="C69" i="24" s="1"/>
  <c r="G48" i="24"/>
  <c r="G55" i="24" s="1"/>
  <c r="G69" i="24" s="1"/>
  <c r="G111" i="24"/>
  <c r="F266" i="28"/>
  <c r="F248" i="28"/>
  <c r="F187" i="28"/>
  <c r="E178" i="9"/>
  <c r="E141" i="9"/>
  <c r="E140" i="9"/>
  <c r="E139" i="9"/>
  <c r="E137" i="9"/>
  <c r="E131" i="9"/>
  <c r="C112" i="32" l="1"/>
  <c r="C112" i="24"/>
  <c r="G112" i="24"/>
  <c r="E31" i="11"/>
  <c r="E99" i="9"/>
  <c r="E98" i="9"/>
  <c r="E97" i="9"/>
  <c r="E96" i="9"/>
  <c r="E59" i="9"/>
  <c r="E58" i="9"/>
  <c r="E52" i="9"/>
  <c r="E43" i="9"/>
  <c r="E45" i="9"/>
  <c r="E34" i="9"/>
  <c r="E27" i="9"/>
  <c r="E189" i="5" l="1"/>
  <c r="E84" i="17"/>
  <c r="E76" i="1"/>
  <c r="D76" i="1" s="1"/>
  <c r="E185" i="9"/>
  <c r="D185" i="9" s="1"/>
  <c r="E183" i="9"/>
  <c r="D183" i="9" s="1"/>
  <c r="E72" i="1"/>
  <c r="D72" i="1" s="1"/>
  <c r="E28" i="1"/>
  <c r="E27" i="1"/>
  <c r="E26" i="1"/>
  <c r="D138" i="9"/>
  <c r="D136" i="9"/>
  <c r="E64" i="9" l="1"/>
  <c r="E53" i="9"/>
  <c r="E16" i="9"/>
  <c r="E176" i="5" l="1"/>
  <c r="E196" i="9" l="1"/>
  <c r="D15" i="9" l="1"/>
  <c r="E15" i="9"/>
  <c r="E12" i="9" s="1"/>
  <c r="D14" i="9"/>
  <c r="E10" i="9" l="1"/>
  <c r="D10" i="9" s="1"/>
  <c r="D12" i="9"/>
  <c r="F278" i="28" l="1"/>
  <c r="D14" i="10" l="1"/>
  <c r="F183" i="28" l="1"/>
  <c r="E80" i="17" l="1"/>
  <c r="F80" i="17"/>
  <c r="H80" i="17"/>
  <c r="I80" i="17"/>
  <c r="E32" i="17"/>
  <c r="F32" i="17"/>
  <c r="H32" i="17"/>
  <c r="I32" i="17"/>
  <c r="E185" i="5"/>
  <c r="D185" i="5" s="1"/>
  <c r="H185" i="5"/>
  <c r="G185" i="5" s="1"/>
  <c r="D140" i="5"/>
  <c r="G140" i="5"/>
  <c r="D48" i="5"/>
  <c r="G48" i="5"/>
  <c r="E77" i="13"/>
  <c r="D77" i="13" s="1"/>
  <c r="E32" i="13"/>
  <c r="D32" i="13" s="1"/>
  <c r="E181" i="10"/>
  <c r="D181" i="10" s="1"/>
  <c r="D136" i="10"/>
  <c r="D44" i="10"/>
  <c r="E77" i="30"/>
  <c r="D77" i="30" s="1"/>
  <c r="E32" i="30"/>
  <c r="D32" i="30" s="1"/>
  <c r="E190" i="11"/>
  <c r="D190" i="11"/>
  <c r="D145" i="11"/>
  <c r="D53" i="11"/>
  <c r="E32" i="1"/>
  <c r="D32" i="1" s="1"/>
  <c r="E189" i="9"/>
  <c r="D189" i="9" s="1"/>
  <c r="D142" i="9"/>
  <c r="D48" i="9"/>
  <c r="E80" i="1" l="1"/>
  <c r="D80" i="1" s="1"/>
  <c r="G80" i="17"/>
  <c r="G32" i="17"/>
  <c r="D32" i="17"/>
  <c r="D80" i="17"/>
  <c r="I62" i="6"/>
  <c r="H62" i="6"/>
  <c r="F62" i="6"/>
  <c r="E62" i="6"/>
  <c r="G64" i="6"/>
  <c r="D64" i="6"/>
  <c r="G63" i="5"/>
  <c r="D63" i="5"/>
  <c r="E57" i="10"/>
  <c r="D59" i="10"/>
  <c r="E66" i="11"/>
  <c r="E61" i="9"/>
  <c r="D61" i="9" s="1"/>
  <c r="D68" i="11"/>
  <c r="D63" i="9"/>
  <c r="D62" i="6" l="1"/>
  <c r="G87" i="6" l="1"/>
  <c r="I85" i="6"/>
  <c r="H85" i="6" s="1"/>
  <c r="G85" i="6" s="1"/>
  <c r="F85" i="6" s="1"/>
  <c r="E85" i="6" s="1"/>
  <c r="D87" i="6"/>
  <c r="G86" i="5"/>
  <c r="G85" i="5"/>
  <c r="F84" i="5"/>
  <c r="H84" i="5"/>
  <c r="I84" i="5"/>
  <c r="E84" i="5"/>
  <c r="D86" i="5"/>
  <c r="D87" i="5"/>
  <c r="G87" i="5"/>
  <c r="F80" i="10"/>
  <c r="E80" i="10" s="1"/>
  <c r="D80" i="10" s="1"/>
  <c r="D82" i="10"/>
  <c r="D81" i="10"/>
  <c r="F89" i="11"/>
  <c r="E89" i="11"/>
  <c r="D89" i="11" s="1"/>
  <c r="D91" i="11"/>
  <c r="F84" i="9"/>
  <c r="E84" i="9"/>
  <c r="D84" i="9" s="1"/>
  <c r="D86" i="9"/>
  <c r="D85" i="6" l="1"/>
  <c r="G84" i="5"/>
  <c r="D84" i="5"/>
  <c r="E48" i="11"/>
  <c r="F76" i="17" l="1"/>
  <c r="D76" i="17" s="1"/>
  <c r="I76" i="17"/>
  <c r="G76" i="17" s="1"/>
  <c r="F74" i="17"/>
  <c r="I74" i="17"/>
  <c r="E72" i="17"/>
  <c r="F72" i="17"/>
  <c r="H72" i="17"/>
  <c r="I72" i="17"/>
  <c r="F28" i="17"/>
  <c r="H28" i="17"/>
  <c r="I28" i="17"/>
  <c r="E26" i="17"/>
  <c r="F26" i="17"/>
  <c r="H26" i="17"/>
  <c r="I26" i="17"/>
  <c r="E24" i="17"/>
  <c r="F24" i="17"/>
  <c r="H24" i="17"/>
  <c r="I24" i="17"/>
  <c r="D44" i="5"/>
  <c r="G44" i="5"/>
  <c r="D42" i="5"/>
  <c r="G42" i="5"/>
  <c r="D40" i="5"/>
  <c r="G40" i="5"/>
  <c r="E28" i="13"/>
  <c r="D28" i="13" s="1"/>
  <c r="E26" i="13"/>
  <c r="D26" i="13" s="1"/>
  <c r="E24" i="13"/>
  <c r="D24" i="13" s="1"/>
  <c r="D40" i="10"/>
  <c r="D38" i="10"/>
  <c r="D36" i="10"/>
  <c r="E28" i="30"/>
  <c r="D28" i="30" s="1"/>
  <c r="E26" i="30"/>
  <c r="D26" i="30" s="1"/>
  <c r="E24" i="30"/>
  <c r="D24" i="30" s="1"/>
  <c r="D49" i="11"/>
  <c r="D47" i="11"/>
  <c r="D45" i="11"/>
  <c r="D28" i="1"/>
  <c r="D26" i="1"/>
  <c r="E24" i="1"/>
  <c r="D24" i="1" s="1"/>
  <c r="D44" i="9"/>
  <c r="D42" i="9"/>
  <c r="D40" i="9"/>
  <c r="G26" i="17" l="1"/>
  <c r="G28" i="17"/>
  <c r="G72" i="17"/>
  <c r="D72" i="17"/>
  <c r="G24" i="17"/>
  <c r="D28" i="17"/>
  <c r="D24" i="17"/>
  <c r="D26" i="17"/>
  <c r="C29" i="28" l="1"/>
  <c r="G29" i="28" s="1"/>
  <c r="F36" i="28"/>
  <c r="F49" i="28"/>
  <c r="F48" i="28"/>
  <c r="F55" i="28" s="1"/>
  <c r="F62" i="28"/>
  <c r="C108" i="28"/>
  <c r="C109" i="28"/>
  <c r="G109" i="28" s="1"/>
  <c r="F100" i="28"/>
  <c r="F99" i="28"/>
  <c r="E20" i="1" l="1"/>
  <c r="F299" i="24" l="1"/>
  <c r="F264" i="24" l="1"/>
  <c r="F168" i="24" l="1"/>
  <c r="F164" i="24"/>
  <c r="F246" i="24" l="1"/>
  <c r="F216" i="24"/>
  <c r="F209" i="24"/>
  <c r="F206" i="24"/>
  <c r="F204" i="24"/>
  <c r="F203" i="24"/>
  <c r="F202" i="24"/>
  <c r="F201" i="24"/>
  <c r="F200" i="24"/>
  <c r="F199" i="24"/>
  <c r="F198" i="24"/>
  <c r="F197" i="24"/>
  <c r="F196" i="24"/>
  <c r="F195" i="24"/>
  <c r="F167" i="24"/>
  <c r="F163" i="24"/>
  <c r="E53" i="5"/>
  <c r="F323" i="28"/>
  <c r="F230" i="28"/>
  <c r="F155" i="28" l="1"/>
  <c r="E72" i="9"/>
  <c r="F119" i="15" l="1"/>
  <c r="F336" i="28"/>
  <c r="F34" i="29" l="1"/>
  <c r="F35" i="29" s="1"/>
  <c r="E34" i="10"/>
  <c r="E31" i="10"/>
  <c r="E25" i="10"/>
  <c r="E60" i="10"/>
  <c r="E73" i="10"/>
  <c r="E12" i="10"/>
  <c r="D15" i="10"/>
  <c r="C76" i="28" l="1"/>
  <c r="G76" i="28" s="1"/>
  <c r="B110" i="28"/>
  <c r="B101" i="28"/>
  <c r="D96" i="28"/>
  <c r="B77" i="28"/>
  <c r="E84" i="28"/>
  <c r="D84" i="28"/>
  <c r="B84" i="28"/>
  <c r="D46" i="28"/>
  <c r="B46" i="28"/>
  <c r="D59" i="28"/>
  <c r="B59" i="28"/>
  <c r="B37" i="28"/>
  <c r="D37" i="28"/>
  <c r="C32" i="28"/>
  <c r="G32" i="28" s="1"/>
  <c r="D30" i="28"/>
  <c r="B111" i="28" l="1"/>
  <c r="F77" i="28"/>
  <c r="D110" i="28" l="1"/>
  <c r="C107" i="28"/>
  <c r="C106" i="28"/>
  <c r="G106" i="28" s="1"/>
  <c r="C105" i="28"/>
  <c r="G105" i="28" s="1"/>
  <c r="C104" i="28"/>
  <c r="C103" i="28"/>
  <c r="E101" i="28"/>
  <c r="D101" i="28"/>
  <c r="C94" i="28"/>
  <c r="G94" i="28" s="1"/>
  <c r="C100" i="28"/>
  <c r="G100" i="28" s="1"/>
  <c r="C99" i="28"/>
  <c r="G99" i="28" s="1"/>
  <c r="E96" i="28"/>
  <c r="C93" i="28"/>
  <c r="G93" i="28" s="1"/>
  <c r="C91" i="28"/>
  <c r="G91" i="28" s="1"/>
  <c r="C90" i="28"/>
  <c r="G90" i="28" s="1"/>
  <c r="C89" i="28"/>
  <c r="G89" i="28" s="1"/>
  <c r="C88" i="28"/>
  <c r="G88" i="28" s="1"/>
  <c r="C87" i="28"/>
  <c r="G87" i="28" s="1"/>
  <c r="C81" i="28"/>
  <c r="G81" i="28" s="1"/>
  <c r="C80" i="28"/>
  <c r="E77" i="28"/>
  <c r="C75" i="28"/>
  <c r="C83" i="28"/>
  <c r="G83" i="28" s="1"/>
  <c r="C82" i="28"/>
  <c r="G82" i="28" s="1"/>
  <c r="C74" i="28"/>
  <c r="G74" i="28" s="1"/>
  <c r="C72" i="28"/>
  <c r="G72" i="28" s="1"/>
  <c r="D68" i="28"/>
  <c r="B68" i="28"/>
  <c r="C67" i="28"/>
  <c r="G67" i="28" s="1"/>
  <c r="C66" i="28"/>
  <c r="G66" i="28" s="1"/>
  <c r="C65" i="28"/>
  <c r="G65" i="28" s="1"/>
  <c r="C64" i="28"/>
  <c r="G64" i="28" s="1"/>
  <c r="G63" i="28"/>
  <c r="C62" i="28"/>
  <c r="G62" i="28" s="1"/>
  <c r="C61" i="28"/>
  <c r="E59" i="28"/>
  <c r="C54" i="28"/>
  <c r="G54" i="28" s="1"/>
  <c r="C58" i="28"/>
  <c r="G58" i="28" s="1"/>
  <c r="C57" i="28"/>
  <c r="C51" i="28"/>
  <c r="G51" i="28" s="1"/>
  <c r="C50" i="28"/>
  <c r="G50" i="28" s="1"/>
  <c r="C49" i="28"/>
  <c r="G49" i="28" s="1"/>
  <c r="E46" i="28"/>
  <c r="C44" i="28"/>
  <c r="G44" i="28" s="1"/>
  <c r="D41" i="28"/>
  <c r="B41" i="28"/>
  <c r="C40" i="28"/>
  <c r="G40" i="28" s="1"/>
  <c r="C45" i="28"/>
  <c r="G45" i="28" s="1"/>
  <c r="C36" i="28"/>
  <c r="G36" i="28" s="1"/>
  <c r="C52" i="28"/>
  <c r="G52" i="28" s="1"/>
  <c r="C34" i="28"/>
  <c r="G34" i="28" s="1"/>
  <c r="C28" i="28"/>
  <c r="C27" i="28"/>
  <c r="G27" i="28" s="1"/>
  <c r="C26" i="28"/>
  <c r="G26" i="28" s="1"/>
  <c r="C25" i="28"/>
  <c r="G25" i="28" s="1"/>
  <c r="C24" i="28"/>
  <c r="G24" i="28" s="1"/>
  <c r="F30" i="28"/>
  <c r="D69" i="28" l="1"/>
  <c r="G28" i="28"/>
  <c r="G104" i="28"/>
  <c r="C110" i="28"/>
  <c r="C92" i="28"/>
  <c r="G92" i="28" s="1"/>
  <c r="F96" i="28"/>
  <c r="D111" i="28"/>
  <c r="G75" i="28"/>
  <c r="C79" i="28"/>
  <c r="C84" i="28" s="1"/>
  <c r="F84" i="28"/>
  <c r="C59" i="28"/>
  <c r="C68" i="28"/>
  <c r="B69" i="28"/>
  <c r="F46" i="28"/>
  <c r="C48" i="28"/>
  <c r="C55" i="28" s="1"/>
  <c r="C46" i="28"/>
  <c r="F41" i="28"/>
  <c r="F101" i="28"/>
  <c r="C33" i="28"/>
  <c r="F37" i="28"/>
  <c r="C39" i="28"/>
  <c r="C41" i="28" s="1"/>
  <c r="F59" i="28"/>
  <c r="G61" i="28"/>
  <c r="G68" i="28" s="1"/>
  <c r="G80" i="28"/>
  <c r="G103" i="28"/>
  <c r="F110" i="28"/>
  <c r="C23" i="28"/>
  <c r="C30" i="28" s="1"/>
  <c r="C71" i="28"/>
  <c r="C77" i="28" s="1"/>
  <c r="C86" i="28"/>
  <c r="G57" i="28"/>
  <c r="G59" i="28" s="1"/>
  <c r="F68" i="28"/>
  <c r="C98" i="28"/>
  <c r="C101" i="28" s="1"/>
  <c r="G110" i="28" l="1"/>
  <c r="C96" i="28"/>
  <c r="C111" i="28" s="1"/>
  <c r="F69" i="28"/>
  <c r="F111" i="28"/>
  <c r="G43" i="28"/>
  <c r="G46" i="28" s="1"/>
  <c r="G39" i="28"/>
  <c r="G41" i="28" s="1"/>
  <c r="G48" i="28"/>
  <c r="G55" i="28" s="1"/>
  <c r="G79" i="28"/>
  <c r="G84" i="28" s="1"/>
  <c r="G33" i="28"/>
  <c r="G37" i="28" s="1"/>
  <c r="C37" i="28"/>
  <c r="G23" i="28"/>
  <c r="G30" i="28" s="1"/>
  <c r="G86" i="28"/>
  <c r="G96" i="28" s="1"/>
  <c r="G98" i="28"/>
  <c r="G101" i="28" s="1"/>
  <c r="G71" i="28"/>
  <c r="G77" i="28" s="1"/>
  <c r="G111" i="28" l="1"/>
  <c r="C69" i="28"/>
  <c r="C112" i="28" s="1"/>
  <c r="G69" i="28"/>
  <c r="H112" i="28" s="1"/>
  <c r="I112" i="28" s="1"/>
  <c r="D123" i="28" l="1"/>
  <c r="D13" i="11" l="1"/>
  <c r="F11" i="15" s="1"/>
  <c r="F139" i="28" l="1"/>
  <c r="F198" i="28" l="1"/>
  <c r="D8" i="10" l="1"/>
  <c r="E210" i="6"/>
  <c r="D210" i="6" s="1"/>
  <c r="H210" i="6"/>
  <c r="G210" i="6" s="1"/>
  <c r="E193" i="6"/>
  <c r="D193" i="6" s="1"/>
  <c r="H193" i="6"/>
  <c r="G193" i="6" s="1"/>
  <c r="I158" i="6"/>
  <c r="H158" i="6"/>
  <c r="F158" i="6"/>
  <c r="E158" i="6"/>
  <c r="D166" i="6"/>
  <c r="G166" i="6"/>
  <c r="D149" i="6"/>
  <c r="G149" i="6"/>
  <c r="D148" i="6"/>
  <c r="I93" i="6"/>
  <c r="H93" i="6"/>
  <c r="F93" i="6"/>
  <c r="E93" i="6"/>
  <c r="D101" i="6"/>
  <c r="G101" i="6"/>
  <c r="D60" i="6"/>
  <c r="D61" i="6"/>
  <c r="G61" i="6"/>
  <c r="F106" i="17"/>
  <c r="I106" i="17"/>
  <c r="F89" i="17"/>
  <c r="I89" i="17"/>
  <c r="E58" i="17"/>
  <c r="F58" i="17"/>
  <c r="H58" i="17"/>
  <c r="I58" i="17"/>
  <c r="E211" i="5"/>
  <c r="E106" i="17" s="1"/>
  <c r="H211" i="5"/>
  <c r="G211" i="5" s="1"/>
  <c r="E194" i="5"/>
  <c r="E89" i="17" s="1"/>
  <c r="E193" i="5"/>
  <c r="H194" i="5"/>
  <c r="G194" i="5" s="1"/>
  <c r="I158" i="5"/>
  <c r="H158" i="5"/>
  <c r="G158" i="5" s="1"/>
  <c r="F158" i="5"/>
  <c r="E158" i="5"/>
  <c r="D158" i="5" s="1"/>
  <c r="D166" i="5"/>
  <c r="G166" i="5"/>
  <c r="D165" i="5"/>
  <c r="D149" i="5"/>
  <c r="G149" i="5"/>
  <c r="D148" i="5"/>
  <c r="G100" i="5"/>
  <c r="D100" i="5"/>
  <c r="H92" i="5"/>
  <c r="E92" i="5"/>
  <c r="D60" i="5"/>
  <c r="G60" i="5"/>
  <c r="E58" i="13"/>
  <c r="D58" i="13" s="1"/>
  <c r="E41" i="13"/>
  <c r="D41" i="13" s="1"/>
  <c r="E207" i="10"/>
  <c r="E103" i="13" s="1"/>
  <c r="D103" i="13" s="1"/>
  <c r="E190" i="10"/>
  <c r="E86" i="13" s="1"/>
  <c r="D86" i="13" s="1"/>
  <c r="E88" i="10"/>
  <c r="D190" i="10"/>
  <c r="E189" i="10"/>
  <c r="D162" i="10"/>
  <c r="D145" i="10"/>
  <c r="D144" i="10"/>
  <c r="D96" i="10"/>
  <c r="D95" i="10"/>
  <c r="D56" i="10"/>
  <c r="D194" i="5" l="1"/>
  <c r="H89" i="17"/>
  <c r="G89" i="17" s="1"/>
  <c r="H106" i="17"/>
  <c r="G106" i="17" s="1"/>
  <c r="D211" i="5"/>
  <c r="D89" i="17"/>
  <c r="G58" i="17"/>
  <c r="D106" i="17"/>
  <c r="D207" i="10"/>
  <c r="D58" i="17"/>
  <c r="D55" i="10"/>
  <c r="E86" i="30"/>
  <c r="D86" i="30" s="1"/>
  <c r="F87" i="30"/>
  <c r="E58" i="30"/>
  <c r="D58" i="30" s="1"/>
  <c r="E41" i="30"/>
  <c r="D41" i="30" s="1"/>
  <c r="E216" i="11"/>
  <c r="E103" i="30" s="1"/>
  <c r="D103" i="30" s="1"/>
  <c r="E199" i="11"/>
  <c r="D199" i="11"/>
  <c r="E134" i="11"/>
  <c r="E159" i="11"/>
  <c r="E163" i="11"/>
  <c r="D163" i="11"/>
  <c r="D171" i="11"/>
  <c r="D154" i="11"/>
  <c r="D153" i="11"/>
  <c r="E97" i="11"/>
  <c r="D105" i="11"/>
  <c r="D104" i="11"/>
  <c r="D65" i="11"/>
  <c r="E58" i="1"/>
  <c r="D58" i="1" s="1"/>
  <c r="E41" i="1"/>
  <c r="D41" i="1" s="1"/>
  <c r="E215" i="9"/>
  <c r="D215" i="9" s="1"/>
  <c r="E198" i="9"/>
  <c r="E197" i="9"/>
  <c r="D198" i="9"/>
  <c r="E160" i="9"/>
  <c r="E92" i="9"/>
  <c r="D151" i="9"/>
  <c r="D168" i="9"/>
  <c r="D167" i="9"/>
  <c r="E214" i="9"/>
  <c r="D214" i="9" s="1"/>
  <c r="E89" i="1"/>
  <c r="D89" i="1" s="1"/>
  <c r="D100" i="9"/>
  <c r="D60" i="9"/>
  <c r="D216" i="11" l="1"/>
  <c r="E106" i="1"/>
  <c r="D106" i="1" s="1"/>
  <c r="D8" i="9"/>
  <c r="I95" i="18" l="1"/>
  <c r="I94" i="18"/>
  <c r="I93" i="18"/>
  <c r="I92" i="18"/>
  <c r="I91" i="18"/>
  <c r="I90" i="18"/>
  <c r="I89" i="18"/>
  <c r="F95" i="18"/>
  <c r="F94" i="18"/>
  <c r="F93" i="18"/>
  <c r="F92" i="18"/>
  <c r="F91" i="18"/>
  <c r="F90" i="18"/>
  <c r="F89" i="18"/>
  <c r="I86" i="18"/>
  <c r="I85" i="18"/>
  <c r="F86" i="18"/>
  <c r="F85" i="18"/>
  <c r="I82" i="18"/>
  <c r="I81" i="18"/>
  <c r="F82" i="18"/>
  <c r="F81" i="18"/>
  <c r="I74" i="18"/>
  <c r="I73" i="18"/>
  <c r="I78" i="18"/>
  <c r="I77" i="18"/>
  <c r="I76" i="18"/>
  <c r="F78" i="18"/>
  <c r="F77" i="18"/>
  <c r="F76" i="18"/>
  <c r="F74" i="18"/>
  <c r="F73" i="18"/>
  <c r="I71" i="18"/>
  <c r="F71" i="18"/>
  <c r="I70" i="18"/>
  <c r="I69" i="18"/>
  <c r="I68" i="18"/>
  <c r="I67" i="18"/>
  <c r="I66" i="18"/>
  <c r="F70" i="18"/>
  <c r="F69" i="18"/>
  <c r="F68" i="18"/>
  <c r="F67" i="18"/>
  <c r="F66" i="18"/>
  <c r="I63" i="18"/>
  <c r="I62" i="18"/>
  <c r="F63" i="18"/>
  <c r="F62" i="18"/>
  <c r="I59" i="18"/>
  <c r="F59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I44" i="18"/>
  <c r="H44" i="18"/>
  <c r="I43" i="18"/>
  <c r="H43" i="18"/>
  <c r="F44" i="18"/>
  <c r="E44" i="18"/>
  <c r="F43" i="18"/>
  <c r="E43" i="18"/>
  <c r="I40" i="18"/>
  <c r="H40" i="18"/>
  <c r="I39" i="18"/>
  <c r="H39" i="18"/>
  <c r="F40" i="18"/>
  <c r="E40" i="18"/>
  <c r="F39" i="18"/>
  <c r="E39" i="18"/>
  <c r="I36" i="18"/>
  <c r="H36" i="18"/>
  <c r="I35" i="18"/>
  <c r="H35" i="18"/>
  <c r="I34" i="18"/>
  <c r="H34" i="18"/>
  <c r="F36" i="18"/>
  <c r="E36" i="18"/>
  <c r="F35" i="18"/>
  <c r="E35" i="18"/>
  <c r="F34" i="18"/>
  <c r="E34" i="18"/>
  <c r="I32" i="18"/>
  <c r="H32" i="18"/>
  <c r="I31" i="18"/>
  <c r="H31" i="18"/>
  <c r="F32" i="18"/>
  <c r="E32" i="18"/>
  <c r="F31" i="18"/>
  <c r="E31" i="18"/>
  <c r="I29" i="18"/>
  <c r="H29" i="18"/>
  <c r="F29" i="18"/>
  <c r="E29" i="18"/>
  <c r="I28" i="18"/>
  <c r="H28" i="18"/>
  <c r="F28" i="18"/>
  <c r="E28" i="18"/>
  <c r="I27" i="18"/>
  <c r="H27" i="18"/>
  <c r="F27" i="18"/>
  <c r="E27" i="18"/>
  <c r="I26" i="18"/>
  <c r="H26" i="18"/>
  <c r="F26" i="18"/>
  <c r="E26" i="18"/>
  <c r="I25" i="18"/>
  <c r="H25" i="18"/>
  <c r="F25" i="18"/>
  <c r="E25" i="18"/>
  <c r="I24" i="18"/>
  <c r="H24" i="18"/>
  <c r="F24" i="18"/>
  <c r="E24" i="18"/>
  <c r="I21" i="18"/>
  <c r="H21" i="18"/>
  <c r="F21" i="18"/>
  <c r="E21" i="18"/>
  <c r="I20" i="18"/>
  <c r="H20" i="18"/>
  <c r="F20" i="18"/>
  <c r="E20" i="18"/>
  <c r="I17" i="18"/>
  <c r="H17" i="18"/>
  <c r="F17" i="18"/>
  <c r="E17" i="18"/>
  <c r="I107" i="17"/>
  <c r="I105" i="17"/>
  <c r="I104" i="17"/>
  <c r="I103" i="17"/>
  <c r="I102" i="17"/>
  <c r="I101" i="17"/>
  <c r="I100" i="17"/>
  <c r="I97" i="17"/>
  <c r="I96" i="17"/>
  <c r="I93" i="17"/>
  <c r="I92" i="17"/>
  <c r="I88" i="17"/>
  <c r="I87" i="17"/>
  <c r="I86" i="17"/>
  <c r="I84" i="17"/>
  <c r="I83" i="17"/>
  <c r="I81" i="17"/>
  <c r="I79" i="17"/>
  <c r="I78" i="17"/>
  <c r="I77" i="17"/>
  <c r="I75" i="17"/>
  <c r="I73" i="17"/>
  <c r="I69" i="17"/>
  <c r="I68" i="17"/>
  <c r="I65" i="17"/>
  <c r="I59" i="17"/>
  <c r="H59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49" i="17"/>
  <c r="H49" i="17"/>
  <c r="I48" i="17"/>
  <c r="H48" i="17"/>
  <c r="I45" i="17"/>
  <c r="H45" i="17"/>
  <c r="I44" i="17"/>
  <c r="H44" i="17"/>
  <c r="I40" i="17"/>
  <c r="H40" i="17"/>
  <c r="I39" i="17"/>
  <c r="H39" i="17"/>
  <c r="I38" i="17"/>
  <c r="H38" i="17"/>
  <c r="I36" i="17"/>
  <c r="H36" i="17"/>
  <c r="I35" i="17"/>
  <c r="H35" i="17"/>
  <c r="I33" i="17"/>
  <c r="H33" i="17"/>
  <c r="I31" i="17"/>
  <c r="H31" i="17"/>
  <c r="I30" i="17"/>
  <c r="H30" i="17"/>
  <c r="I29" i="17"/>
  <c r="H29" i="17"/>
  <c r="I27" i="17"/>
  <c r="H27" i="17"/>
  <c r="I25" i="17"/>
  <c r="H25" i="17"/>
  <c r="I21" i="17"/>
  <c r="H21" i="17"/>
  <c r="I20" i="17"/>
  <c r="H20" i="17"/>
  <c r="I17" i="17"/>
  <c r="H17" i="17"/>
  <c r="F107" i="17"/>
  <c r="F105" i="17"/>
  <c r="F104" i="17"/>
  <c r="F103" i="17"/>
  <c r="F102" i="17"/>
  <c r="F101" i="17"/>
  <c r="F100" i="17"/>
  <c r="F97" i="17"/>
  <c r="F96" i="17"/>
  <c r="F93" i="17"/>
  <c r="F92" i="17"/>
  <c r="F88" i="17"/>
  <c r="F87" i="17"/>
  <c r="F86" i="17"/>
  <c r="F84" i="17"/>
  <c r="F83" i="17"/>
  <c r="F81" i="17"/>
  <c r="F79" i="17"/>
  <c r="F78" i="17"/>
  <c r="F77" i="17"/>
  <c r="F75" i="17"/>
  <c r="F73" i="17"/>
  <c r="F69" i="17"/>
  <c r="F68" i="17"/>
  <c r="F65" i="17"/>
  <c r="F59" i="17"/>
  <c r="E59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49" i="17"/>
  <c r="E49" i="17"/>
  <c r="F48" i="17"/>
  <c r="E48" i="17"/>
  <c r="F45" i="17"/>
  <c r="E45" i="17"/>
  <c r="F44" i="17"/>
  <c r="E44" i="17"/>
  <c r="F40" i="17"/>
  <c r="E40" i="17"/>
  <c r="F39" i="17"/>
  <c r="E39" i="17"/>
  <c r="F38" i="17"/>
  <c r="E38" i="17"/>
  <c r="F36" i="17"/>
  <c r="E36" i="17"/>
  <c r="F35" i="17"/>
  <c r="E35" i="17"/>
  <c r="F33" i="17"/>
  <c r="E33" i="17"/>
  <c r="F31" i="17"/>
  <c r="E31" i="17"/>
  <c r="F30" i="17"/>
  <c r="E30" i="17"/>
  <c r="F29" i="17"/>
  <c r="E29" i="17"/>
  <c r="F27" i="17"/>
  <c r="E27" i="17"/>
  <c r="F25" i="17"/>
  <c r="E25" i="17"/>
  <c r="F21" i="17"/>
  <c r="E21" i="17"/>
  <c r="F20" i="17"/>
  <c r="E20" i="17"/>
  <c r="F17" i="17"/>
  <c r="E17" i="17"/>
  <c r="E59" i="13"/>
  <c r="E57" i="13"/>
  <c r="E56" i="13"/>
  <c r="E55" i="13"/>
  <c r="E54" i="13"/>
  <c r="E53" i="13"/>
  <c r="E52" i="13"/>
  <c r="E49" i="13"/>
  <c r="E48" i="13"/>
  <c r="E45" i="13"/>
  <c r="E44" i="13"/>
  <c r="E40" i="13"/>
  <c r="D40" i="13" s="1"/>
  <c r="E39" i="13"/>
  <c r="E38" i="13"/>
  <c r="E36" i="13"/>
  <c r="E35" i="13"/>
  <c r="E33" i="13"/>
  <c r="E31" i="13"/>
  <c r="E30" i="13"/>
  <c r="E29" i="13"/>
  <c r="E27" i="13"/>
  <c r="E25" i="13"/>
  <c r="E21" i="13"/>
  <c r="E20" i="13"/>
  <c r="E17" i="13"/>
  <c r="E59" i="30"/>
  <c r="D59" i="30" s="1"/>
  <c r="E57" i="30"/>
  <c r="D57" i="30" s="1"/>
  <c r="E56" i="30"/>
  <c r="D56" i="30" s="1"/>
  <c r="E55" i="30"/>
  <c r="D55" i="30" s="1"/>
  <c r="E54" i="30"/>
  <c r="D54" i="30" s="1"/>
  <c r="E53" i="30"/>
  <c r="D53" i="30" s="1"/>
  <c r="E52" i="30"/>
  <c r="E49" i="30"/>
  <c r="D49" i="30" s="1"/>
  <c r="E48" i="30"/>
  <c r="D48" i="30" s="1"/>
  <c r="E45" i="30"/>
  <c r="D45" i="30" s="1"/>
  <c r="E44" i="30"/>
  <c r="E40" i="30"/>
  <c r="E39" i="30"/>
  <c r="D39" i="30" s="1"/>
  <c r="E38" i="30"/>
  <c r="E36" i="30"/>
  <c r="D36" i="30" s="1"/>
  <c r="E35" i="30"/>
  <c r="D35" i="30" s="1"/>
  <c r="E33" i="30"/>
  <c r="D33" i="30" s="1"/>
  <c r="E31" i="30"/>
  <c r="D31" i="30" s="1"/>
  <c r="E30" i="30"/>
  <c r="D30" i="30" s="1"/>
  <c r="E29" i="30"/>
  <c r="D29" i="30" s="1"/>
  <c r="E27" i="30"/>
  <c r="D27" i="30" s="1"/>
  <c r="E25" i="30"/>
  <c r="D25" i="30" s="1"/>
  <c r="E21" i="30"/>
  <c r="D21" i="30" s="1"/>
  <c r="E20" i="30"/>
  <c r="E17" i="30"/>
  <c r="D17" i="30" s="1"/>
  <c r="F95" i="30"/>
  <c r="F91" i="30" s="1"/>
  <c r="D88" i="30"/>
  <c r="F82" i="30"/>
  <c r="F79" i="30"/>
  <c r="F70" i="30"/>
  <c r="F63" i="30"/>
  <c r="F50" i="30"/>
  <c r="F46" i="30"/>
  <c r="D43" i="30"/>
  <c r="F42" i="30"/>
  <c r="D40" i="30"/>
  <c r="F37" i="30"/>
  <c r="F34" i="30"/>
  <c r="F22" i="30"/>
  <c r="F15" i="30"/>
  <c r="F66" i="30" l="1"/>
  <c r="F61" i="30" s="1"/>
  <c r="E37" i="30"/>
  <c r="D37" i="30" s="1"/>
  <c r="D52" i="30"/>
  <c r="E50" i="30"/>
  <c r="D50" i="30" s="1"/>
  <c r="D20" i="30"/>
  <c r="E42" i="30"/>
  <c r="D42" i="30" s="1"/>
  <c r="F18" i="30"/>
  <c r="F13" i="30" s="1"/>
  <c r="D44" i="30"/>
  <c r="D38" i="30"/>
  <c r="E34" i="30"/>
  <c r="D34" i="30"/>
  <c r="E22" i="30"/>
  <c r="D22" i="30" s="1"/>
  <c r="E15" i="30"/>
  <c r="E59" i="1"/>
  <c r="E57" i="1"/>
  <c r="E56" i="1"/>
  <c r="E55" i="1"/>
  <c r="E54" i="1"/>
  <c r="E53" i="1"/>
  <c r="E52" i="1"/>
  <c r="E49" i="1"/>
  <c r="E48" i="1"/>
  <c r="E45" i="1"/>
  <c r="E44" i="1"/>
  <c r="E40" i="1"/>
  <c r="E39" i="1"/>
  <c r="E38" i="1"/>
  <c r="E36" i="1"/>
  <c r="D36" i="1" s="1"/>
  <c r="E35" i="1"/>
  <c r="E33" i="1"/>
  <c r="E31" i="1"/>
  <c r="E30" i="1"/>
  <c r="E29" i="1"/>
  <c r="E25" i="1"/>
  <c r="E21" i="1"/>
  <c r="D20" i="1"/>
  <c r="E17" i="1"/>
  <c r="F257" i="27"/>
  <c r="F11" i="27"/>
  <c r="F257" i="26"/>
  <c r="F11" i="24"/>
  <c r="E50" i="1" l="1"/>
  <c r="E18" i="30"/>
  <c r="D18" i="30" s="1"/>
  <c r="E46" i="30"/>
  <c r="D46" i="30" s="1"/>
  <c r="F10" i="30"/>
  <c r="D15" i="30"/>
  <c r="E13" i="30" l="1"/>
  <c r="D13" i="30" l="1"/>
  <c r="A115" i="14" l="1"/>
  <c r="F94" i="14" l="1"/>
  <c r="F93" i="14"/>
  <c r="F92" i="14"/>
  <c r="K118" i="20" l="1"/>
  <c r="H203" i="20"/>
  <c r="G203" i="20" s="1"/>
  <c r="E203" i="20"/>
  <c r="D203" i="20" s="1"/>
  <c r="H202" i="20"/>
  <c r="G202" i="20" s="1"/>
  <c r="E202" i="20"/>
  <c r="D202" i="20"/>
  <c r="H201" i="20"/>
  <c r="G201" i="20" s="1"/>
  <c r="E201" i="20"/>
  <c r="D201" i="20" s="1"/>
  <c r="H200" i="20"/>
  <c r="G200" i="20" s="1"/>
  <c r="E200" i="20"/>
  <c r="D200" i="20" s="1"/>
  <c r="H199" i="20"/>
  <c r="G199" i="20" s="1"/>
  <c r="E199" i="20"/>
  <c r="D199" i="20" s="1"/>
  <c r="H198" i="20"/>
  <c r="G198" i="20" s="1"/>
  <c r="E198" i="20"/>
  <c r="D198" i="20"/>
  <c r="H197" i="20"/>
  <c r="G197" i="20" s="1"/>
  <c r="E197" i="20"/>
  <c r="D197" i="20" s="1"/>
  <c r="I195" i="20"/>
  <c r="I191" i="20" s="1"/>
  <c r="F195" i="20"/>
  <c r="F191" i="20" s="1"/>
  <c r="H194" i="20"/>
  <c r="G194" i="20" s="1"/>
  <c r="E194" i="20"/>
  <c r="D194" i="20" s="1"/>
  <c r="H193" i="20"/>
  <c r="G193" i="20"/>
  <c r="E193" i="20"/>
  <c r="D193" i="20" s="1"/>
  <c r="H190" i="20"/>
  <c r="G190" i="20" s="1"/>
  <c r="E190" i="20"/>
  <c r="D190" i="20"/>
  <c r="H189" i="20"/>
  <c r="G189" i="20" s="1"/>
  <c r="E189" i="20"/>
  <c r="D189" i="20"/>
  <c r="G188" i="20"/>
  <c r="D188" i="20"/>
  <c r="I187" i="20"/>
  <c r="F187" i="20"/>
  <c r="E187" i="20"/>
  <c r="D187" i="20" s="1"/>
  <c r="H186" i="20"/>
  <c r="G186" i="20" s="1"/>
  <c r="E186" i="20"/>
  <c r="D186" i="20"/>
  <c r="H185" i="20"/>
  <c r="G185" i="20" s="1"/>
  <c r="E185" i="20"/>
  <c r="D185" i="20"/>
  <c r="H184" i="20"/>
  <c r="G184" i="20" s="1"/>
  <c r="E184" i="20"/>
  <c r="D184" i="20" s="1"/>
  <c r="I183" i="20"/>
  <c r="F183" i="20"/>
  <c r="H182" i="20"/>
  <c r="G182" i="20" s="1"/>
  <c r="E182" i="20"/>
  <c r="D182" i="20" s="1"/>
  <c r="H181" i="20"/>
  <c r="G181" i="20"/>
  <c r="E181" i="20"/>
  <c r="D181" i="20" s="1"/>
  <c r="D180" i="20" s="1"/>
  <c r="I180" i="20"/>
  <c r="F180" i="20"/>
  <c r="H179" i="20"/>
  <c r="G179" i="20" s="1"/>
  <c r="E179" i="20"/>
  <c r="D179" i="20" s="1"/>
  <c r="H178" i="20"/>
  <c r="G178" i="20" s="1"/>
  <c r="E178" i="20"/>
  <c r="D178" i="20" s="1"/>
  <c r="H177" i="20"/>
  <c r="G177" i="20" s="1"/>
  <c r="E177" i="20"/>
  <c r="D177" i="20"/>
  <c r="H176" i="20"/>
  <c r="G176" i="20" s="1"/>
  <c r="E176" i="20"/>
  <c r="D176" i="20" s="1"/>
  <c r="H175" i="20"/>
  <c r="G175" i="20" s="1"/>
  <c r="E175" i="20"/>
  <c r="D175" i="20" s="1"/>
  <c r="H174" i="20"/>
  <c r="G174" i="20" s="1"/>
  <c r="E174" i="20"/>
  <c r="D174" i="20"/>
  <c r="I172" i="20"/>
  <c r="I168" i="20" s="1"/>
  <c r="F172" i="20"/>
  <c r="H171" i="20"/>
  <c r="G171" i="20" s="1"/>
  <c r="E171" i="20"/>
  <c r="D171" i="20" s="1"/>
  <c r="H170" i="20"/>
  <c r="G170" i="20"/>
  <c r="E170" i="20"/>
  <c r="D170" i="20" s="1"/>
  <c r="H167" i="20"/>
  <c r="G167" i="20" s="1"/>
  <c r="E167" i="20"/>
  <c r="D167" i="20"/>
  <c r="I165" i="20"/>
  <c r="I163" i="20" s="1"/>
  <c r="F165" i="20"/>
  <c r="E165" i="20"/>
  <c r="G161" i="20"/>
  <c r="D161" i="20"/>
  <c r="G160" i="20"/>
  <c r="D160" i="20"/>
  <c r="G159" i="20"/>
  <c r="D159" i="20"/>
  <c r="G158" i="20"/>
  <c r="D158" i="20"/>
  <c r="G157" i="20"/>
  <c r="D157" i="20"/>
  <c r="G156" i="20"/>
  <c r="D156" i="20"/>
  <c r="G155" i="20"/>
  <c r="D155" i="20"/>
  <c r="I153" i="20"/>
  <c r="H153" i="20"/>
  <c r="H149" i="20" s="1"/>
  <c r="G153" i="20"/>
  <c r="F153" i="20"/>
  <c r="F149" i="20" s="1"/>
  <c r="E153" i="20"/>
  <c r="G152" i="20"/>
  <c r="D152" i="20"/>
  <c r="G151" i="20"/>
  <c r="D151" i="20"/>
  <c r="I149" i="20"/>
  <c r="E149" i="20"/>
  <c r="G148" i="20"/>
  <c r="D148" i="20"/>
  <c r="G147" i="20"/>
  <c r="D147" i="20"/>
  <c r="G146" i="20"/>
  <c r="D146" i="20"/>
  <c r="I145" i="20"/>
  <c r="G145" i="20" s="1"/>
  <c r="H145" i="20"/>
  <c r="F145" i="20"/>
  <c r="E145" i="20"/>
  <c r="D145" i="20" s="1"/>
  <c r="G144" i="20"/>
  <c r="D144" i="20"/>
  <c r="G143" i="20"/>
  <c r="D143" i="20"/>
  <c r="G142" i="20"/>
  <c r="D142" i="20"/>
  <c r="I141" i="20"/>
  <c r="H141" i="20"/>
  <c r="F141" i="20"/>
  <c r="E141" i="20"/>
  <c r="G140" i="20"/>
  <c r="D140" i="20"/>
  <c r="G139" i="20"/>
  <c r="D139" i="20"/>
  <c r="I138" i="20"/>
  <c r="H138" i="20"/>
  <c r="G138" i="20"/>
  <c r="F138" i="20"/>
  <c r="E138" i="20"/>
  <c r="D138" i="20"/>
  <c r="G137" i="20"/>
  <c r="D137" i="20"/>
  <c r="G136" i="20"/>
  <c r="D136" i="20"/>
  <c r="G135" i="20"/>
  <c r="D135" i="20"/>
  <c r="G134" i="20"/>
  <c r="D134" i="20"/>
  <c r="G133" i="20"/>
  <c r="D133" i="20"/>
  <c r="G132" i="20"/>
  <c r="D132" i="20"/>
  <c r="I130" i="20"/>
  <c r="G130" i="20" s="1"/>
  <c r="H130" i="20"/>
  <c r="F130" i="20"/>
  <c r="E130" i="20"/>
  <c r="D130" i="20" s="1"/>
  <c r="G129" i="20"/>
  <c r="D129" i="20"/>
  <c r="G128" i="20"/>
  <c r="D128" i="20"/>
  <c r="H126" i="20"/>
  <c r="G125" i="20"/>
  <c r="D125" i="20"/>
  <c r="I123" i="20"/>
  <c r="H123" i="20"/>
  <c r="F123" i="20"/>
  <c r="E123" i="20"/>
  <c r="D123" i="20"/>
  <c r="N118" i="20"/>
  <c r="G117" i="20"/>
  <c r="D117" i="20"/>
  <c r="G103" i="20"/>
  <c r="G102" i="20"/>
  <c r="G101" i="20"/>
  <c r="I99" i="20"/>
  <c r="H99" i="20"/>
  <c r="G99" i="20" s="1"/>
  <c r="G98" i="20"/>
  <c r="G97" i="20"/>
  <c r="G96" i="20"/>
  <c r="G95" i="20"/>
  <c r="G94" i="20"/>
  <c r="G93" i="20"/>
  <c r="G92" i="20"/>
  <c r="I90" i="20"/>
  <c r="I86" i="20" s="1"/>
  <c r="H90" i="20"/>
  <c r="G89" i="20"/>
  <c r="G88" i="20"/>
  <c r="H86" i="20"/>
  <c r="G86" i="20" s="1"/>
  <c r="G85" i="20"/>
  <c r="G84" i="20"/>
  <c r="I83" i="20"/>
  <c r="H83" i="20"/>
  <c r="G83" i="20" s="1"/>
  <c r="G82" i="20"/>
  <c r="G80" i="20"/>
  <c r="G79" i="20"/>
  <c r="G78" i="20"/>
  <c r="G77" i="20"/>
  <c r="I76" i="20"/>
  <c r="I67" i="20" s="1"/>
  <c r="H76" i="20"/>
  <c r="G76" i="20" s="1"/>
  <c r="G75" i="20"/>
  <c r="G74" i="20"/>
  <c r="G73" i="20"/>
  <c r="G72" i="20"/>
  <c r="G71" i="20"/>
  <c r="G70" i="20"/>
  <c r="I69" i="20"/>
  <c r="H69" i="20"/>
  <c r="G68" i="20"/>
  <c r="H67" i="20"/>
  <c r="G67" i="20" s="1"/>
  <c r="G66" i="20"/>
  <c r="G65" i="20"/>
  <c r="G64" i="20"/>
  <c r="I63" i="20"/>
  <c r="I61" i="20" s="1"/>
  <c r="H63" i="20"/>
  <c r="G62" i="20"/>
  <c r="H61" i="20"/>
  <c r="G60" i="20"/>
  <c r="G59" i="20"/>
  <c r="G58" i="20"/>
  <c r="G57" i="20"/>
  <c r="G56" i="20"/>
  <c r="G55" i="20"/>
  <c r="I54" i="20"/>
  <c r="H54" i="20"/>
  <c r="G53" i="20"/>
  <c r="G52" i="20"/>
  <c r="I51" i="20"/>
  <c r="H51" i="20"/>
  <c r="G50" i="20"/>
  <c r="G49" i="20"/>
  <c r="G48" i="20"/>
  <c r="G47" i="20"/>
  <c r="G46" i="20"/>
  <c r="G45" i="20"/>
  <c r="I43" i="20"/>
  <c r="H43" i="20"/>
  <c r="G42" i="20"/>
  <c r="G41" i="20"/>
  <c r="I40" i="20"/>
  <c r="H40" i="20"/>
  <c r="G40" i="20" s="1"/>
  <c r="G39" i="20"/>
  <c r="G35" i="20"/>
  <c r="I34" i="20"/>
  <c r="I29" i="20" s="1"/>
  <c r="H34" i="20"/>
  <c r="G34" i="20" s="1"/>
  <c r="G33" i="20"/>
  <c r="G32" i="20"/>
  <c r="G31" i="20"/>
  <c r="H29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I12" i="20"/>
  <c r="I10" i="20" s="1"/>
  <c r="H12" i="20"/>
  <c r="H10" i="20" s="1"/>
  <c r="G8" i="20"/>
  <c r="D103" i="20"/>
  <c r="D102" i="20"/>
  <c r="D101" i="20"/>
  <c r="F99" i="20"/>
  <c r="E99" i="20"/>
  <c r="D98" i="20"/>
  <c r="D97" i="20"/>
  <c r="D96" i="20"/>
  <c r="D95" i="20"/>
  <c r="D94" i="20"/>
  <c r="D93" i="20"/>
  <c r="D92" i="20"/>
  <c r="F90" i="20"/>
  <c r="F86" i="20" s="1"/>
  <c r="E90" i="20"/>
  <c r="D89" i="20"/>
  <c r="D88" i="20"/>
  <c r="D85" i="20"/>
  <c r="D84" i="20"/>
  <c r="F83" i="20"/>
  <c r="E83" i="20"/>
  <c r="D82" i="20"/>
  <c r="D80" i="20"/>
  <c r="D79" i="20"/>
  <c r="D78" i="20"/>
  <c r="D77" i="20"/>
  <c r="F76" i="20"/>
  <c r="E76" i="20"/>
  <c r="D75" i="20"/>
  <c r="D74" i="20"/>
  <c r="D73" i="20"/>
  <c r="D72" i="20"/>
  <c r="D71" i="20"/>
  <c r="D70" i="20"/>
  <c r="F69" i="20"/>
  <c r="E69" i="20"/>
  <c r="E67" i="20" s="1"/>
  <c r="D69" i="20"/>
  <c r="D68" i="20"/>
  <c r="D66" i="20"/>
  <c r="D65" i="20"/>
  <c r="D64" i="20"/>
  <c r="F63" i="20"/>
  <c r="E63" i="20"/>
  <c r="D63" i="20" s="1"/>
  <c r="D62" i="20"/>
  <c r="F61" i="20"/>
  <c r="D60" i="20"/>
  <c r="D59" i="20"/>
  <c r="D58" i="20"/>
  <c r="D57" i="20"/>
  <c r="D56" i="20"/>
  <c r="D55" i="20"/>
  <c r="F54" i="20"/>
  <c r="E54" i="20"/>
  <c r="D53" i="20"/>
  <c r="D52" i="20"/>
  <c r="D51" i="20" s="1"/>
  <c r="F51" i="20"/>
  <c r="E51" i="20"/>
  <c r="D50" i="20"/>
  <c r="D49" i="20"/>
  <c r="D48" i="20"/>
  <c r="D47" i="20"/>
  <c r="D46" i="20"/>
  <c r="D45" i="20"/>
  <c r="F43" i="20"/>
  <c r="E43" i="20"/>
  <c r="D43" i="20"/>
  <c r="D42" i="20"/>
  <c r="D41" i="20"/>
  <c r="F40" i="20"/>
  <c r="E40" i="20"/>
  <c r="D40" i="20" s="1"/>
  <c r="D39" i="20"/>
  <c r="D35" i="20"/>
  <c r="F34" i="20"/>
  <c r="F29" i="20" s="1"/>
  <c r="E34" i="20"/>
  <c r="D34" i="20" s="1"/>
  <c r="D33" i="20"/>
  <c r="D32" i="20"/>
  <c r="D31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2" i="20"/>
  <c r="F10" i="20" s="1"/>
  <c r="E12" i="20"/>
  <c r="E10" i="20" s="1"/>
  <c r="D8" i="20"/>
  <c r="G95" i="19"/>
  <c r="D95" i="19"/>
  <c r="G94" i="19"/>
  <c r="D94" i="19"/>
  <c r="G93" i="19"/>
  <c r="D93" i="19"/>
  <c r="G92" i="19"/>
  <c r="D92" i="19"/>
  <c r="G91" i="19"/>
  <c r="D91" i="19"/>
  <c r="G90" i="19"/>
  <c r="D90" i="19"/>
  <c r="G89" i="19"/>
  <c r="D89" i="19"/>
  <c r="I87" i="19"/>
  <c r="I83" i="19" s="1"/>
  <c r="H87" i="19"/>
  <c r="F87" i="19"/>
  <c r="F83" i="19" s="1"/>
  <c r="E87" i="19"/>
  <c r="G86" i="19"/>
  <c r="D86" i="19"/>
  <c r="G85" i="19"/>
  <c r="D85" i="19"/>
  <c r="E83" i="19"/>
  <c r="G82" i="19"/>
  <c r="D82" i="19"/>
  <c r="G81" i="19"/>
  <c r="D81" i="19"/>
  <c r="G80" i="19"/>
  <c r="D80" i="19"/>
  <c r="I79" i="19"/>
  <c r="H79" i="19"/>
  <c r="F79" i="19"/>
  <c r="E79" i="19"/>
  <c r="G78" i="19"/>
  <c r="D78" i="19"/>
  <c r="G77" i="19"/>
  <c r="D77" i="19"/>
  <c r="G76" i="19"/>
  <c r="D76" i="19"/>
  <c r="I75" i="19"/>
  <c r="H75" i="19"/>
  <c r="F75" i="19"/>
  <c r="E75" i="19"/>
  <c r="G74" i="19"/>
  <c r="D74" i="19"/>
  <c r="G73" i="19"/>
  <c r="D73" i="19"/>
  <c r="I72" i="19"/>
  <c r="H72" i="19"/>
  <c r="F72" i="19"/>
  <c r="E72" i="19"/>
  <c r="G71" i="19"/>
  <c r="D71" i="19"/>
  <c r="G70" i="19"/>
  <c r="D70" i="19"/>
  <c r="G69" i="19"/>
  <c r="D69" i="19"/>
  <c r="G68" i="19"/>
  <c r="D68" i="19"/>
  <c r="G67" i="19"/>
  <c r="D67" i="19"/>
  <c r="G66" i="19"/>
  <c r="D66" i="19"/>
  <c r="I64" i="19"/>
  <c r="H64" i="19"/>
  <c r="H60" i="19" s="1"/>
  <c r="F64" i="19"/>
  <c r="F60" i="19" s="1"/>
  <c r="E64" i="19"/>
  <c r="G63" i="19"/>
  <c r="D63" i="19"/>
  <c r="G62" i="19"/>
  <c r="D62" i="19"/>
  <c r="G59" i="19"/>
  <c r="D59" i="19"/>
  <c r="I57" i="19"/>
  <c r="H57" i="19"/>
  <c r="F57" i="19"/>
  <c r="E57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I45" i="19"/>
  <c r="I41" i="19" s="1"/>
  <c r="H45" i="19"/>
  <c r="H41" i="19" s="1"/>
  <c r="G41" i="19" s="1"/>
  <c r="F45" i="19"/>
  <c r="F41" i="19" s="1"/>
  <c r="E45" i="19"/>
  <c r="G44" i="19"/>
  <c r="D44" i="19"/>
  <c r="G43" i="19"/>
  <c r="D43" i="19"/>
  <c r="G40" i="19"/>
  <c r="D40" i="19"/>
  <c r="G39" i="19"/>
  <c r="D39" i="19"/>
  <c r="G38" i="19"/>
  <c r="D38" i="19"/>
  <c r="I37" i="19"/>
  <c r="H37" i="19"/>
  <c r="F37" i="19"/>
  <c r="E37" i="19"/>
  <c r="G36" i="19"/>
  <c r="D36" i="19"/>
  <c r="G35" i="19"/>
  <c r="D35" i="19"/>
  <c r="G34" i="19"/>
  <c r="D34" i="19"/>
  <c r="I33" i="19"/>
  <c r="H33" i="19"/>
  <c r="F33" i="19"/>
  <c r="E33" i="19"/>
  <c r="G32" i="19"/>
  <c r="D32" i="19"/>
  <c r="G31" i="19"/>
  <c r="D31" i="19"/>
  <c r="I30" i="19"/>
  <c r="H30" i="19"/>
  <c r="F30" i="19"/>
  <c r="E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I22" i="19"/>
  <c r="H22" i="19"/>
  <c r="F22" i="19"/>
  <c r="E22" i="19"/>
  <c r="G21" i="19"/>
  <c r="D21" i="19"/>
  <c r="G20" i="19"/>
  <c r="D20" i="19"/>
  <c r="I18" i="19"/>
  <c r="G17" i="19"/>
  <c r="D17" i="19"/>
  <c r="I15" i="19"/>
  <c r="H15" i="19"/>
  <c r="F15" i="19"/>
  <c r="E15" i="19"/>
  <c r="D15" i="19" s="1"/>
  <c r="G9" i="19"/>
  <c r="D9" i="19"/>
  <c r="I87" i="18"/>
  <c r="I83" i="18" s="1"/>
  <c r="F87" i="18"/>
  <c r="F83" i="18" s="1"/>
  <c r="G80" i="18"/>
  <c r="D80" i="18"/>
  <c r="I79" i="18"/>
  <c r="F79" i="18"/>
  <c r="I75" i="18"/>
  <c r="F75" i="18"/>
  <c r="I72" i="18"/>
  <c r="F72" i="18"/>
  <c r="I64" i="18"/>
  <c r="F64" i="18"/>
  <c r="I57" i="18"/>
  <c r="F57" i="18"/>
  <c r="G53" i="18"/>
  <c r="D53" i="18"/>
  <c r="G52" i="18"/>
  <c r="D52" i="18"/>
  <c r="G51" i="18"/>
  <c r="D51" i="18"/>
  <c r="G50" i="18"/>
  <c r="D50" i="18"/>
  <c r="G49" i="18"/>
  <c r="D49" i="18"/>
  <c r="G48" i="18"/>
  <c r="D48" i="18"/>
  <c r="G47" i="18"/>
  <c r="D47" i="18"/>
  <c r="I45" i="18"/>
  <c r="I41" i="18" s="1"/>
  <c r="H45" i="18"/>
  <c r="F45" i="18"/>
  <c r="F41" i="18" s="1"/>
  <c r="E45" i="18"/>
  <c r="G44" i="18"/>
  <c r="D44" i="18"/>
  <c r="G43" i="18"/>
  <c r="D43" i="18"/>
  <c r="G40" i="18"/>
  <c r="D40" i="18"/>
  <c r="G39" i="18"/>
  <c r="D39" i="18"/>
  <c r="G38" i="18"/>
  <c r="D38" i="18"/>
  <c r="I37" i="18"/>
  <c r="H37" i="18"/>
  <c r="F37" i="18"/>
  <c r="E37" i="18"/>
  <c r="G36" i="18"/>
  <c r="D36" i="18"/>
  <c r="G35" i="18"/>
  <c r="D35" i="18"/>
  <c r="G34" i="18"/>
  <c r="D34" i="18"/>
  <c r="I33" i="18"/>
  <c r="H33" i="18"/>
  <c r="F33" i="18"/>
  <c r="E33" i="18"/>
  <c r="G32" i="18"/>
  <c r="D32" i="18"/>
  <c r="G31" i="18"/>
  <c r="D31" i="18"/>
  <c r="I30" i="18"/>
  <c r="H30" i="18"/>
  <c r="F30" i="18"/>
  <c r="E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I22" i="18"/>
  <c r="H22" i="18"/>
  <c r="F22" i="18"/>
  <c r="E22" i="18"/>
  <c r="G21" i="18"/>
  <c r="D21" i="18"/>
  <c r="G20" i="18"/>
  <c r="D20" i="18"/>
  <c r="G17" i="18"/>
  <c r="D17" i="18"/>
  <c r="I15" i="18"/>
  <c r="H15" i="18"/>
  <c r="F15" i="18"/>
  <c r="E15" i="18"/>
  <c r="G9" i="18"/>
  <c r="D9" i="18"/>
  <c r="I98" i="17"/>
  <c r="I94" i="17" s="1"/>
  <c r="G91" i="17"/>
  <c r="I90" i="17"/>
  <c r="I85" i="17"/>
  <c r="I82" i="17"/>
  <c r="I70" i="17"/>
  <c r="I63" i="17"/>
  <c r="G59" i="17"/>
  <c r="G57" i="17"/>
  <c r="G56" i="17"/>
  <c r="G55" i="17"/>
  <c r="G54" i="17"/>
  <c r="G53" i="17"/>
  <c r="G52" i="17"/>
  <c r="I50" i="17"/>
  <c r="I46" i="17" s="1"/>
  <c r="H50" i="17"/>
  <c r="G49" i="17"/>
  <c r="G48" i="17"/>
  <c r="G45" i="17"/>
  <c r="G44" i="17"/>
  <c r="I42" i="17"/>
  <c r="H42" i="17"/>
  <c r="G40" i="17"/>
  <c r="G39" i="17"/>
  <c r="G38" i="17"/>
  <c r="I37" i="17"/>
  <c r="H37" i="17"/>
  <c r="G36" i="17"/>
  <c r="G35" i="17"/>
  <c r="I34" i="17"/>
  <c r="H34" i="17"/>
  <c r="G33" i="17"/>
  <c r="G31" i="17"/>
  <c r="G30" i="17"/>
  <c r="G29" i="17"/>
  <c r="G27" i="17"/>
  <c r="G25" i="17"/>
  <c r="I22" i="17"/>
  <c r="H22" i="17"/>
  <c r="G21" i="17"/>
  <c r="G20" i="17"/>
  <c r="G17" i="17"/>
  <c r="I15" i="17"/>
  <c r="H15" i="17"/>
  <c r="F98" i="17"/>
  <c r="F94" i="17" s="1"/>
  <c r="D91" i="17"/>
  <c r="F90" i="17"/>
  <c r="F85" i="17"/>
  <c r="F82" i="17"/>
  <c r="F70" i="17"/>
  <c r="F63" i="17"/>
  <c r="D59" i="17"/>
  <c r="D57" i="17"/>
  <c r="D56" i="17"/>
  <c r="D55" i="17"/>
  <c r="D54" i="17"/>
  <c r="D53" i="17"/>
  <c r="D52" i="17"/>
  <c r="F50" i="17"/>
  <c r="F46" i="17" s="1"/>
  <c r="E50" i="17"/>
  <c r="D49" i="17"/>
  <c r="D48" i="17"/>
  <c r="D45" i="17"/>
  <c r="D44" i="17"/>
  <c r="F42" i="17"/>
  <c r="E42" i="17"/>
  <c r="D40" i="17"/>
  <c r="D39" i="17"/>
  <c r="D38" i="17"/>
  <c r="F37" i="17"/>
  <c r="E37" i="17"/>
  <c r="D36" i="17"/>
  <c r="D35" i="17"/>
  <c r="F34" i="17"/>
  <c r="E34" i="17"/>
  <c r="D33" i="17"/>
  <c r="D31" i="17"/>
  <c r="D30" i="17"/>
  <c r="D29" i="17"/>
  <c r="D27" i="17"/>
  <c r="D25" i="17"/>
  <c r="F22" i="17"/>
  <c r="E22" i="17"/>
  <c r="D21" i="17"/>
  <c r="D20" i="17"/>
  <c r="D17" i="17"/>
  <c r="F15" i="17"/>
  <c r="E15" i="17"/>
  <c r="G45" i="18" l="1"/>
  <c r="F66" i="17"/>
  <c r="F61" i="17" s="1"/>
  <c r="I66" i="17"/>
  <c r="I61" i="17" s="1"/>
  <c r="H121" i="20"/>
  <c r="D83" i="20"/>
  <c r="D99" i="20"/>
  <c r="I27" i="20"/>
  <c r="I25" i="20" s="1"/>
  <c r="I9" i="20" s="1"/>
  <c r="I37" i="20"/>
  <c r="E172" i="20"/>
  <c r="D172" i="20" s="1"/>
  <c r="H180" i="20"/>
  <c r="E61" i="20"/>
  <c r="D61" i="20" s="1"/>
  <c r="F67" i="20"/>
  <c r="D67" i="20" s="1"/>
  <c r="G51" i="20"/>
  <c r="G69" i="20"/>
  <c r="F126" i="20"/>
  <c r="F121" i="20" s="1"/>
  <c r="F118" i="20" s="1"/>
  <c r="G141" i="20"/>
  <c r="D153" i="20"/>
  <c r="G149" i="20"/>
  <c r="D165" i="20"/>
  <c r="F168" i="20"/>
  <c r="G61" i="20"/>
  <c r="G180" i="20"/>
  <c r="G72" i="19"/>
  <c r="D90" i="20"/>
  <c r="G63" i="20"/>
  <c r="G123" i="20"/>
  <c r="D141" i="20"/>
  <c r="D149" i="20"/>
  <c r="D72" i="19"/>
  <c r="G22" i="19"/>
  <c r="D37" i="19"/>
  <c r="D22" i="19"/>
  <c r="G37" i="19"/>
  <c r="D87" i="19"/>
  <c r="F18" i="19"/>
  <c r="F13" i="19" s="1"/>
  <c r="F10" i="19" s="1"/>
  <c r="G57" i="19"/>
  <c r="G75" i="19"/>
  <c r="E18" i="19"/>
  <c r="E13" i="19" s="1"/>
  <c r="G30" i="19"/>
  <c r="D57" i="19"/>
  <c r="F55" i="19"/>
  <c r="G79" i="19"/>
  <c r="H37" i="20"/>
  <c r="G37" i="20" s="1"/>
  <c r="G54" i="20"/>
  <c r="E195" i="20"/>
  <c r="D195" i="20" s="1"/>
  <c r="E86" i="20"/>
  <c r="D86" i="20" s="1"/>
  <c r="E183" i="20"/>
  <c r="D183" i="20" s="1"/>
  <c r="D54" i="20"/>
  <c r="D12" i="20"/>
  <c r="D15" i="18"/>
  <c r="D33" i="18"/>
  <c r="F60" i="18"/>
  <c r="F55" i="18" s="1"/>
  <c r="G30" i="18"/>
  <c r="D22" i="18"/>
  <c r="G15" i="18"/>
  <c r="H18" i="17"/>
  <c r="H13" i="17" s="1"/>
  <c r="D30" i="19"/>
  <c r="D33" i="19"/>
  <c r="I60" i="19"/>
  <c r="I55" i="19" s="1"/>
  <c r="G15" i="19"/>
  <c r="G45" i="19"/>
  <c r="D64" i="19"/>
  <c r="D79" i="19"/>
  <c r="G87" i="19"/>
  <c r="G33" i="19"/>
  <c r="D45" i="19"/>
  <c r="G64" i="19"/>
  <c r="D75" i="19"/>
  <c r="D83" i="19"/>
  <c r="D30" i="18"/>
  <c r="I60" i="18"/>
  <c r="I55" i="18" s="1"/>
  <c r="G22" i="18"/>
  <c r="I18" i="18"/>
  <c r="I13" i="18" s="1"/>
  <c r="D37" i="18"/>
  <c r="D45" i="18"/>
  <c r="G42" i="17"/>
  <c r="F163" i="20"/>
  <c r="H187" i="20"/>
  <c r="G187" i="20" s="1"/>
  <c r="E126" i="20"/>
  <c r="I126" i="20"/>
  <c r="E180" i="20"/>
  <c r="E168" i="20" s="1"/>
  <c r="D168" i="20" s="1"/>
  <c r="H165" i="20"/>
  <c r="H172" i="20"/>
  <c r="H183" i="20"/>
  <c r="G183" i="20" s="1"/>
  <c r="H195" i="20"/>
  <c r="G12" i="20"/>
  <c r="G43" i="20"/>
  <c r="G90" i="20"/>
  <c r="G10" i="20"/>
  <c r="G29" i="20"/>
  <c r="D10" i="20"/>
  <c r="E37" i="20"/>
  <c r="D37" i="20" s="1"/>
  <c r="F37" i="20"/>
  <c r="F27" i="20" s="1"/>
  <c r="F25" i="20" s="1"/>
  <c r="F9" i="20" s="1"/>
  <c r="E29" i="20"/>
  <c r="D76" i="20"/>
  <c r="I13" i="19"/>
  <c r="I10" i="19" s="1"/>
  <c r="E41" i="19"/>
  <c r="D41" i="19" s="1"/>
  <c r="E60" i="19"/>
  <c r="H18" i="19"/>
  <c r="H55" i="19"/>
  <c r="H83" i="19"/>
  <c r="G83" i="19" s="1"/>
  <c r="E41" i="18"/>
  <c r="D41" i="18" s="1"/>
  <c r="H18" i="18"/>
  <c r="H13" i="18" s="1"/>
  <c r="G37" i="18"/>
  <c r="F18" i="18"/>
  <c r="F13" i="18" s="1"/>
  <c r="G33" i="18"/>
  <c r="G37" i="17"/>
  <c r="D15" i="17"/>
  <c r="G15" i="17"/>
  <c r="G34" i="17"/>
  <c r="G50" i="17"/>
  <c r="E18" i="18"/>
  <c r="H41" i="18"/>
  <c r="G41" i="18" s="1"/>
  <c r="D34" i="17"/>
  <c r="G22" i="17"/>
  <c r="D37" i="17"/>
  <c r="D50" i="17"/>
  <c r="I18" i="17"/>
  <c r="I13" i="17" s="1"/>
  <c r="H46" i="17"/>
  <c r="G46" i="17" s="1"/>
  <c r="D42" i="17"/>
  <c r="E18" i="17"/>
  <c r="E13" i="17" s="1"/>
  <c r="E46" i="17"/>
  <c r="D46" i="17" s="1"/>
  <c r="F18" i="17"/>
  <c r="F13" i="17" s="1"/>
  <c r="D22" i="17"/>
  <c r="F10" i="17" l="1"/>
  <c r="G55" i="19"/>
  <c r="D18" i="19"/>
  <c r="G60" i="19"/>
  <c r="H27" i="20"/>
  <c r="G27" i="20" s="1"/>
  <c r="H25" i="20"/>
  <c r="G25" i="20" s="1"/>
  <c r="E191" i="20"/>
  <c r="D191" i="20" s="1"/>
  <c r="F10" i="18"/>
  <c r="I10" i="18"/>
  <c r="I10" i="17"/>
  <c r="G18" i="18"/>
  <c r="H168" i="20"/>
  <c r="G168" i="20" s="1"/>
  <c r="G172" i="20"/>
  <c r="G165" i="20"/>
  <c r="E163" i="20"/>
  <c r="D163" i="20" s="1"/>
  <c r="G195" i="20"/>
  <c r="H191" i="20"/>
  <c r="G191" i="20" s="1"/>
  <c r="G126" i="20"/>
  <c r="I121" i="20"/>
  <c r="E121" i="20"/>
  <c r="D126" i="20"/>
  <c r="E27" i="20"/>
  <c r="D29" i="20"/>
  <c r="E55" i="19"/>
  <c r="D55" i="19" s="1"/>
  <c r="D60" i="19"/>
  <c r="H13" i="19"/>
  <c r="G18" i="19"/>
  <c r="E10" i="19"/>
  <c r="D10" i="19" s="1"/>
  <c r="D13" i="19"/>
  <c r="G13" i="18"/>
  <c r="E13" i="18"/>
  <c r="D18" i="18"/>
  <c r="G18" i="17"/>
  <c r="G13" i="17"/>
  <c r="D18" i="17"/>
  <c r="D13" i="17"/>
  <c r="H9" i="20" l="1"/>
  <c r="G9" i="20" s="1"/>
  <c r="H163" i="20"/>
  <c r="G163" i="20" s="1"/>
  <c r="D121" i="20"/>
  <c r="E118" i="20"/>
  <c r="D118" i="20" s="1"/>
  <c r="L118" i="20" s="1"/>
  <c r="I118" i="20"/>
  <c r="G121" i="20"/>
  <c r="D27" i="20"/>
  <c r="E25" i="20"/>
  <c r="G13" i="19"/>
  <c r="H10" i="19"/>
  <c r="G10" i="19" s="1"/>
  <c r="D13" i="18"/>
  <c r="H118" i="20" l="1"/>
  <c r="G118" i="20" s="1"/>
  <c r="O118" i="20" s="1"/>
  <c r="P118" i="20" s="1"/>
  <c r="M118" i="20"/>
  <c r="D25" i="20"/>
  <c r="E9" i="20"/>
  <c r="D9" i="20" s="1"/>
  <c r="F371" i="14" l="1"/>
  <c r="F381" i="14"/>
  <c r="F383" i="14"/>
  <c r="F385" i="14"/>
  <c r="F387" i="14"/>
  <c r="F389" i="14"/>
  <c r="F391" i="14"/>
  <c r="F393" i="14"/>
  <c r="F351" i="14"/>
  <c r="F352" i="14"/>
  <c r="F363" i="14"/>
  <c r="F362" i="14"/>
  <c r="F354" i="14"/>
  <c r="F353" i="14"/>
  <c r="F297" i="14"/>
  <c r="F296" i="14"/>
  <c r="F288" i="14"/>
  <c r="F287" i="14"/>
  <c r="F286" i="14"/>
  <c r="F285" i="14"/>
  <c r="F284" i="14"/>
  <c r="F276" i="14"/>
  <c r="F275" i="14"/>
  <c r="F266" i="14"/>
  <c r="F265" i="14"/>
  <c r="F256" i="14"/>
  <c r="F229" i="14"/>
  <c r="F222" i="14"/>
  <c r="F215" i="14"/>
  <c r="F193" i="14"/>
  <c r="F192" i="14"/>
  <c r="F184" i="14"/>
  <c r="F176" i="14"/>
  <c r="F170" i="14"/>
  <c r="F161" i="14"/>
  <c r="F155" i="14"/>
  <c r="F147" i="14"/>
  <c r="F139" i="14"/>
  <c r="F131" i="14"/>
  <c r="F123" i="14"/>
  <c r="D115" i="14"/>
  <c r="F115" i="14" s="1"/>
  <c r="F26" i="14"/>
  <c r="F11" i="14"/>
  <c r="H211" i="6"/>
  <c r="E211" i="6"/>
  <c r="E95" i="18" s="1"/>
  <c r="D95" i="18" s="1"/>
  <c r="D211" i="6"/>
  <c r="H209" i="6"/>
  <c r="E209" i="6"/>
  <c r="E94" i="18" s="1"/>
  <c r="D94" i="18" s="1"/>
  <c r="H208" i="6"/>
  <c r="E208" i="6"/>
  <c r="E93" i="18" s="1"/>
  <c r="D93" i="18" s="1"/>
  <c r="H207" i="6"/>
  <c r="E207" i="6"/>
  <c r="E92" i="18" s="1"/>
  <c r="D92" i="18" s="1"/>
  <c r="H206" i="6"/>
  <c r="E206" i="6"/>
  <c r="E91" i="18" s="1"/>
  <c r="H205" i="6"/>
  <c r="E205" i="6"/>
  <c r="E90" i="18" s="1"/>
  <c r="D90" i="18" s="1"/>
  <c r="H204" i="6"/>
  <c r="E204" i="6"/>
  <c r="E89" i="18" s="1"/>
  <c r="D89" i="18" s="1"/>
  <c r="D204" i="6"/>
  <c r="I202" i="6"/>
  <c r="F202" i="6"/>
  <c r="F198" i="6" s="1"/>
  <c r="H201" i="6"/>
  <c r="H86" i="18" s="1"/>
  <c r="G86" i="18" s="1"/>
  <c r="E201" i="6"/>
  <c r="H200" i="6"/>
  <c r="H85" i="18" s="1"/>
  <c r="G85" i="18" s="1"/>
  <c r="G200" i="6"/>
  <c r="E200" i="6"/>
  <c r="I198" i="6"/>
  <c r="H197" i="6"/>
  <c r="E197" i="6"/>
  <c r="E82" i="18" s="1"/>
  <c r="D82" i="18" s="1"/>
  <c r="H196" i="6"/>
  <c r="H194" i="6" s="1"/>
  <c r="G194" i="6" s="1"/>
  <c r="E196" i="6"/>
  <c r="E81" i="18" s="1"/>
  <c r="G195" i="6"/>
  <c r="D195" i="6"/>
  <c r="I194" i="6"/>
  <c r="F194" i="6"/>
  <c r="H192" i="6"/>
  <c r="E192" i="6"/>
  <c r="E78" i="18" s="1"/>
  <c r="D78" i="18" s="1"/>
  <c r="H191" i="6"/>
  <c r="E191" i="6"/>
  <c r="E77" i="18" s="1"/>
  <c r="H190" i="6"/>
  <c r="E190" i="6"/>
  <c r="E76" i="18" s="1"/>
  <c r="D76" i="18" s="1"/>
  <c r="I189" i="6"/>
  <c r="F189" i="6"/>
  <c r="H188" i="6"/>
  <c r="H74" i="18" s="1"/>
  <c r="E188" i="6"/>
  <c r="H187" i="6"/>
  <c r="H73" i="18" s="1"/>
  <c r="G73" i="18" s="1"/>
  <c r="E187" i="6"/>
  <c r="I186" i="6"/>
  <c r="F186" i="6"/>
  <c r="H185" i="6"/>
  <c r="E185" i="6"/>
  <c r="E71" i="18" s="1"/>
  <c r="D71" i="18" s="1"/>
  <c r="H184" i="6"/>
  <c r="E184" i="6"/>
  <c r="E70" i="18" s="1"/>
  <c r="D70" i="18" s="1"/>
  <c r="H183" i="6"/>
  <c r="E183" i="6"/>
  <c r="E69" i="18" s="1"/>
  <c r="D69" i="18" s="1"/>
  <c r="H182" i="6"/>
  <c r="E182" i="6"/>
  <c r="E68" i="18" s="1"/>
  <c r="D68" i="18" s="1"/>
  <c r="D182" i="6"/>
  <c r="H181" i="6"/>
  <c r="E181" i="6"/>
  <c r="E67" i="18" s="1"/>
  <c r="D67" i="18" s="1"/>
  <c r="H180" i="6"/>
  <c r="E180" i="6"/>
  <c r="E66" i="18" s="1"/>
  <c r="I178" i="6"/>
  <c r="F178" i="6"/>
  <c r="F174" i="6" s="1"/>
  <c r="H177" i="6"/>
  <c r="H63" i="18" s="1"/>
  <c r="G63" i="18" s="1"/>
  <c r="G177" i="6"/>
  <c r="E177" i="6"/>
  <c r="H176" i="6"/>
  <c r="H62" i="18" s="1"/>
  <c r="G62" i="18" s="1"/>
  <c r="E176" i="6"/>
  <c r="H173" i="6"/>
  <c r="E173" i="6"/>
  <c r="E59" i="18" s="1"/>
  <c r="D173" i="6"/>
  <c r="I171" i="6"/>
  <c r="F171" i="6"/>
  <c r="E171" i="6"/>
  <c r="G167" i="6"/>
  <c r="D167" i="6"/>
  <c r="G165" i="6"/>
  <c r="D165" i="6"/>
  <c r="G164" i="6"/>
  <c r="D164" i="6"/>
  <c r="G163" i="6"/>
  <c r="D163" i="6"/>
  <c r="G162" i="6"/>
  <c r="D162" i="6"/>
  <c r="G161" i="6"/>
  <c r="D161" i="6"/>
  <c r="G160" i="6"/>
  <c r="D160" i="6"/>
  <c r="I154" i="6"/>
  <c r="D158" i="6"/>
  <c r="G157" i="6"/>
  <c r="D157" i="6"/>
  <c r="G156" i="6"/>
  <c r="D156" i="6"/>
  <c r="E154" i="6"/>
  <c r="G153" i="6"/>
  <c r="D153" i="6"/>
  <c r="G152" i="6"/>
  <c r="D152" i="6"/>
  <c r="G151" i="6"/>
  <c r="D151" i="6"/>
  <c r="I150" i="6"/>
  <c r="H150" i="6"/>
  <c r="F150" i="6"/>
  <c r="E150" i="6"/>
  <c r="G148" i="6"/>
  <c r="G147" i="6"/>
  <c r="D147" i="6"/>
  <c r="G146" i="6"/>
  <c r="D146" i="6"/>
  <c r="I145" i="6"/>
  <c r="G145" i="6" s="1"/>
  <c r="H145" i="6"/>
  <c r="F145" i="6"/>
  <c r="E145" i="6"/>
  <c r="G144" i="6"/>
  <c r="D144" i="6"/>
  <c r="G143" i="6"/>
  <c r="D143" i="6"/>
  <c r="D142" i="6" s="1"/>
  <c r="I142" i="6"/>
  <c r="H142" i="6"/>
  <c r="F142" i="6"/>
  <c r="E142" i="6"/>
  <c r="G141" i="6"/>
  <c r="D141" i="6"/>
  <c r="G140" i="6"/>
  <c r="D140" i="6"/>
  <c r="G139" i="6"/>
  <c r="D139" i="6"/>
  <c r="G138" i="6"/>
  <c r="D138" i="6"/>
  <c r="G137" i="6"/>
  <c r="D137" i="6"/>
  <c r="G136" i="6"/>
  <c r="D136" i="6"/>
  <c r="I134" i="6"/>
  <c r="H134" i="6"/>
  <c r="H130" i="6" s="1"/>
  <c r="F134" i="6"/>
  <c r="F130" i="6" s="1"/>
  <c r="E134" i="6"/>
  <c r="E130" i="6" s="1"/>
  <c r="G133" i="6"/>
  <c r="D133" i="6"/>
  <c r="G132" i="6"/>
  <c r="D132" i="6"/>
  <c r="G129" i="6"/>
  <c r="D129" i="6"/>
  <c r="I127" i="6"/>
  <c r="H127" i="6"/>
  <c r="G127" i="6" s="1"/>
  <c r="F127" i="6"/>
  <c r="E127" i="6"/>
  <c r="N122" i="6"/>
  <c r="K122" i="6"/>
  <c r="G121" i="6"/>
  <c r="D121" i="6"/>
  <c r="H103" i="6"/>
  <c r="H89" i="6"/>
  <c r="H78" i="6"/>
  <c r="H71" i="6"/>
  <c r="H65" i="6"/>
  <c r="H54" i="6"/>
  <c r="H51" i="6"/>
  <c r="H43" i="6"/>
  <c r="H40" i="6"/>
  <c r="H34" i="6"/>
  <c r="H29" i="6" s="1"/>
  <c r="H21" i="6"/>
  <c r="H10" i="6" s="1"/>
  <c r="H17" i="6"/>
  <c r="E103" i="6"/>
  <c r="E89" i="6"/>
  <c r="E78" i="6"/>
  <c r="E71" i="6"/>
  <c r="E65" i="6"/>
  <c r="E54" i="6"/>
  <c r="E51" i="6"/>
  <c r="E43" i="6"/>
  <c r="E40" i="6"/>
  <c r="E34" i="6"/>
  <c r="E29" i="6" s="1"/>
  <c r="E21" i="6"/>
  <c r="E17" i="6"/>
  <c r="N121" i="5"/>
  <c r="K121" i="5"/>
  <c r="H102" i="5"/>
  <c r="H88" i="5"/>
  <c r="H77" i="5"/>
  <c r="H70" i="5"/>
  <c r="H64" i="5"/>
  <c r="H61" i="5" s="1"/>
  <c r="H53" i="5"/>
  <c r="H50" i="5"/>
  <c r="H38" i="5"/>
  <c r="H35" i="5"/>
  <c r="H29" i="5"/>
  <c r="H24" i="5" s="1"/>
  <c r="H16" i="5"/>
  <c r="H10" i="5" s="1"/>
  <c r="H212" i="5"/>
  <c r="H210" i="5"/>
  <c r="H105" i="17" s="1"/>
  <c r="G105" i="17" s="1"/>
  <c r="H209" i="5"/>
  <c r="H208" i="5"/>
  <c r="H207" i="5"/>
  <c r="H206" i="5"/>
  <c r="H101" i="17" s="1"/>
  <c r="G101" i="17" s="1"/>
  <c r="H205" i="5"/>
  <c r="I203" i="5"/>
  <c r="I199" i="5" s="1"/>
  <c r="H202" i="5"/>
  <c r="H201" i="5"/>
  <c r="H198" i="5"/>
  <c r="H197" i="5"/>
  <c r="G196" i="5"/>
  <c r="I195" i="5"/>
  <c r="H193" i="5"/>
  <c r="H192" i="5"/>
  <c r="H191" i="5"/>
  <c r="I190" i="5"/>
  <c r="H189" i="5"/>
  <c r="H188" i="5"/>
  <c r="I187" i="5"/>
  <c r="H186" i="5"/>
  <c r="H184" i="5"/>
  <c r="H79" i="17" s="1"/>
  <c r="G79" i="17" s="1"/>
  <c r="H183" i="5"/>
  <c r="H182" i="5"/>
  <c r="H181" i="5"/>
  <c r="H180" i="5"/>
  <c r="I178" i="5"/>
  <c r="H177" i="5"/>
  <c r="H176" i="5"/>
  <c r="H173" i="5"/>
  <c r="I171" i="5"/>
  <c r="G167" i="5"/>
  <c r="G165" i="5"/>
  <c r="G164" i="5"/>
  <c r="G163" i="5"/>
  <c r="G162" i="5"/>
  <c r="G161" i="5"/>
  <c r="G160" i="5"/>
  <c r="I154" i="5"/>
  <c r="G157" i="5"/>
  <c r="G156" i="5"/>
  <c r="G153" i="5"/>
  <c r="G152" i="5"/>
  <c r="G151" i="5"/>
  <c r="I150" i="5"/>
  <c r="I41" i="17" s="1"/>
  <c r="H150" i="5"/>
  <c r="G148" i="5"/>
  <c r="G147" i="5"/>
  <c r="G146" i="5"/>
  <c r="I145" i="5"/>
  <c r="H145" i="5"/>
  <c r="G144" i="5"/>
  <c r="G143" i="5"/>
  <c r="I142" i="5"/>
  <c r="H142" i="5"/>
  <c r="G141" i="5"/>
  <c r="G139" i="5"/>
  <c r="G138" i="5"/>
  <c r="G137" i="5"/>
  <c r="G136" i="5"/>
  <c r="G135" i="5"/>
  <c r="I133" i="5"/>
  <c r="H133" i="5"/>
  <c r="G133" i="5" s="1"/>
  <c r="G132" i="5"/>
  <c r="G131" i="5"/>
  <c r="G128" i="5"/>
  <c r="I126" i="5"/>
  <c r="H126" i="5"/>
  <c r="G120" i="5"/>
  <c r="E102" i="5"/>
  <c r="E77" i="5"/>
  <c r="E70" i="5"/>
  <c r="E64" i="5"/>
  <c r="E61" i="5" s="1"/>
  <c r="E50" i="5"/>
  <c r="E38" i="5"/>
  <c r="E35" i="5"/>
  <c r="E29" i="5"/>
  <c r="E24" i="5" s="1"/>
  <c r="E16" i="5"/>
  <c r="E10" i="5" s="1"/>
  <c r="F203" i="5"/>
  <c r="E202" i="5"/>
  <c r="E201" i="5"/>
  <c r="F199" i="5"/>
  <c r="E198" i="5"/>
  <c r="E93" i="17" s="1"/>
  <c r="D93" i="17" s="1"/>
  <c r="E197" i="5"/>
  <c r="E92" i="17" s="1"/>
  <c r="D196" i="5"/>
  <c r="F195" i="5"/>
  <c r="E192" i="5"/>
  <c r="E191" i="5"/>
  <c r="F190" i="5"/>
  <c r="E188" i="5"/>
  <c r="F187" i="5"/>
  <c r="E186" i="5"/>
  <c r="E81" i="17" s="1"/>
  <c r="D81" i="17" s="1"/>
  <c r="E184" i="5"/>
  <c r="E79" i="17" s="1"/>
  <c r="D79" i="17" s="1"/>
  <c r="E183" i="5"/>
  <c r="E78" i="17" s="1"/>
  <c r="D78" i="17" s="1"/>
  <c r="E182" i="5"/>
  <c r="E77" i="17" s="1"/>
  <c r="D77" i="17" s="1"/>
  <c r="E181" i="5"/>
  <c r="E75" i="17" s="1"/>
  <c r="D75" i="17" s="1"/>
  <c r="E180" i="5"/>
  <c r="F178" i="5"/>
  <c r="E177" i="5"/>
  <c r="E173" i="5"/>
  <c r="E65" i="17" s="1"/>
  <c r="F171" i="5"/>
  <c r="D167" i="5"/>
  <c r="D164" i="5"/>
  <c r="D163" i="5"/>
  <c r="D162" i="5"/>
  <c r="D161" i="5"/>
  <c r="D160" i="5"/>
  <c r="D157" i="5"/>
  <c r="D156" i="5"/>
  <c r="F154" i="5"/>
  <c r="D153" i="5"/>
  <c r="D152" i="5"/>
  <c r="D151" i="5"/>
  <c r="F150" i="5"/>
  <c r="F41" i="17" s="1"/>
  <c r="E150" i="5"/>
  <c r="E41" i="17" s="1"/>
  <c r="D147" i="5"/>
  <c r="D146" i="5"/>
  <c r="F145" i="5"/>
  <c r="E145" i="5"/>
  <c r="D144" i="5"/>
  <c r="D143" i="5"/>
  <c r="F142" i="5"/>
  <c r="E142" i="5"/>
  <c r="D141" i="5"/>
  <c r="D139" i="5"/>
  <c r="D138" i="5"/>
  <c r="D137" i="5"/>
  <c r="D136" i="5"/>
  <c r="D135" i="5"/>
  <c r="F133" i="5"/>
  <c r="E133" i="5"/>
  <c r="E129" i="5" s="1"/>
  <c r="D132" i="5"/>
  <c r="D131" i="5"/>
  <c r="D128" i="5"/>
  <c r="F126" i="5"/>
  <c r="E126" i="5"/>
  <c r="D120" i="5"/>
  <c r="F95" i="13"/>
  <c r="F91" i="13" s="1"/>
  <c r="D88" i="13"/>
  <c r="F87" i="13"/>
  <c r="F82" i="13"/>
  <c r="F79" i="13"/>
  <c r="F70" i="13"/>
  <c r="F63" i="13"/>
  <c r="D59" i="13"/>
  <c r="D57" i="13"/>
  <c r="D56" i="13"/>
  <c r="D55" i="13"/>
  <c r="D54" i="13"/>
  <c r="D53" i="13"/>
  <c r="D52" i="13"/>
  <c r="F50" i="13"/>
  <c r="F46" i="13" s="1"/>
  <c r="E50" i="13"/>
  <c r="D50" i="13" s="1"/>
  <c r="D49" i="13"/>
  <c r="D48" i="13"/>
  <c r="D45" i="13"/>
  <c r="D44" i="13"/>
  <c r="D43" i="13"/>
  <c r="F42" i="13"/>
  <c r="E42" i="13"/>
  <c r="D39" i="13"/>
  <c r="D38" i="13"/>
  <c r="F37" i="13"/>
  <c r="E37" i="13"/>
  <c r="D37" i="13" s="1"/>
  <c r="D36" i="13"/>
  <c r="D35" i="13"/>
  <c r="F34" i="13"/>
  <c r="E34" i="13"/>
  <c r="D33" i="13"/>
  <c r="D31" i="13"/>
  <c r="D30" i="13"/>
  <c r="D29" i="13"/>
  <c r="D27" i="13"/>
  <c r="D25" i="13"/>
  <c r="F22" i="13"/>
  <c r="E22" i="13"/>
  <c r="E18" i="13" s="1"/>
  <c r="D21" i="13"/>
  <c r="D20" i="13"/>
  <c r="D17" i="13"/>
  <c r="F15" i="13"/>
  <c r="E15" i="13"/>
  <c r="D9" i="13"/>
  <c r="E208" i="10"/>
  <c r="E206" i="10"/>
  <c r="E102" i="13" s="1"/>
  <c r="D102" i="13" s="1"/>
  <c r="E205" i="10"/>
  <c r="E204" i="10"/>
  <c r="E203" i="10"/>
  <c r="E202" i="10"/>
  <c r="E98" i="13" s="1"/>
  <c r="E201" i="10"/>
  <c r="F199" i="10"/>
  <c r="F195" i="10" s="1"/>
  <c r="E198" i="10"/>
  <c r="E197" i="10"/>
  <c r="E194" i="10"/>
  <c r="E193" i="10"/>
  <c r="D192" i="10"/>
  <c r="F191" i="10"/>
  <c r="E188" i="10"/>
  <c r="E84" i="13" s="1"/>
  <c r="D84" i="13" s="1"/>
  <c r="E187" i="10"/>
  <c r="F186" i="10"/>
  <c r="E185" i="10"/>
  <c r="E184" i="10"/>
  <c r="F183" i="10"/>
  <c r="E182" i="10"/>
  <c r="E180" i="10"/>
  <c r="E76" i="13" s="1"/>
  <c r="D76" i="13" s="1"/>
  <c r="E179" i="10"/>
  <c r="E178" i="10"/>
  <c r="E177" i="10"/>
  <c r="E176" i="10"/>
  <c r="E72" i="13" s="1"/>
  <c r="D72" i="13" s="1"/>
  <c r="F174" i="10"/>
  <c r="E173" i="10"/>
  <c r="E172" i="10"/>
  <c r="E169" i="10"/>
  <c r="F167" i="10"/>
  <c r="D163" i="10"/>
  <c r="D161" i="10"/>
  <c r="D160" i="10"/>
  <c r="D159" i="10"/>
  <c r="D158" i="10"/>
  <c r="D157" i="10"/>
  <c r="D156" i="10"/>
  <c r="F154" i="10"/>
  <c r="F150" i="10" s="1"/>
  <c r="E154" i="10"/>
  <c r="D153" i="10"/>
  <c r="D152" i="10"/>
  <c r="D149" i="10"/>
  <c r="D148" i="10"/>
  <c r="D147" i="10"/>
  <c r="F146" i="10"/>
  <c r="D146" i="10" s="1"/>
  <c r="E146" i="10"/>
  <c r="D143" i="10"/>
  <c r="D142" i="10"/>
  <c r="F141" i="10"/>
  <c r="E141" i="10"/>
  <c r="D140" i="10"/>
  <c r="D139" i="10"/>
  <c r="F138" i="10"/>
  <c r="E138" i="10"/>
  <c r="D137" i="10"/>
  <c r="D135" i="10"/>
  <c r="D134" i="10"/>
  <c r="D133" i="10"/>
  <c r="D132" i="10"/>
  <c r="D131" i="10"/>
  <c r="F129" i="10"/>
  <c r="D129" i="10" s="1"/>
  <c r="E129" i="10"/>
  <c r="D128" i="10"/>
  <c r="D127" i="10"/>
  <c r="E125" i="10"/>
  <c r="D124" i="10"/>
  <c r="F122" i="10"/>
  <c r="E122" i="10"/>
  <c r="H117" i="10"/>
  <c r="D116" i="10"/>
  <c r="E217" i="11"/>
  <c r="E215" i="11"/>
  <c r="E214" i="11"/>
  <c r="E213" i="11"/>
  <c r="E100" i="30" s="1"/>
  <c r="D100" i="30" s="1"/>
  <c r="E212" i="11"/>
  <c r="E211" i="11"/>
  <c r="E98" i="30" s="1"/>
  <c r="D98" i="30" s="1"/>
  <c r="E210" i="11"/>
  <c r="F208" i="11"/>
  <c r="E207" i="11"/>
  <c r="E206" i="11"/>
  <c r="F204" i="11"/>
  <c r="E203" i="11"/>
  <c r="E202" i="11"/>
  <c r="E89" i="30" s="1"/>
  <c r="D201" i="11"/>
  <c r="F200" i="11"/>
  <c r="E198" i="11"/>
  <c r="E197" i="11"/>
  <c r="E196" i="11"/>
  <c r="F195" i="11"/>
  <c r="E194" i="11"/>
  <c r="E193" i="11"/>
  <c r="F192" i="11"/>
  <c r="E191" i="11"/>
  <c r="E189" i="11"/>
  <c r="E76" i="30" s="1"/>
  <c r="D76" i="30" s="1"/>
  <c r="E188" i="11"/>
  <c r="E187" i="11"/>
  <c r="E186" i="11"/>
  <c r="E185" i="11"/>
  <c r="E72" i="30" s="1"/>
  <c r="F183" i="11"/>
  <c r="F179" i="11" s="1"/>
  <c r="E182" i="11"/>
  <c r="E181" i="11"/>
  <c r="E178" i="11"/>
  <c r="E65" i="30" s="1"/>
  <c r="F176" i="11"/>
  <c r="D172" i="11"/>
  <c r="D170" i="11"/>
  <c r="D169" i="11"/>
  <c r="D168" i="11"/>
  <c r="D167" i="11"/>
  <c r="D166" i="11"/>
  <c r="D165" i="11"/>
  <c r="F163" i="11"/>
  <c r="D162" i="11"/>
  <c r="D161" i="11"/>
  <c r="F159" i="11"/>
  <c r="D158" i="11"/>
  <c r="D157" i="11"/>
  <c r="D156" i="11"/>
  <c r="F155" i="11"/>
  <c r="E155" i="11"/>
  <c r="D155" i="11" s="1"/>
  <c r="D152" i="11"/>
  <c r="D151" i="11"/>
  <c r="F150" i="11"/>
  <c r="E150" i="11"/>
  <c r="D150" i="11" s="1"/>
  <c r="D149" i="11"/>
  <c r="D148" i="11"/>
  <c r="F147" i="11"/>
  <c r="E147" i="11"/>
  <c r="D146" i="11"/>
  <c r="D144" i="11"/>
  <c r="D143" i="11"/>
  <c r="D142" i="11"/>
  <c r="D141" i="11"/>
  <c r="D140" i="11"/>
  <c r="F138" i="11"/>
  <c r="F134" i="11" s="1"/>
  <c r="E138" i="11"/>
  <c r="D138" i="11" s="1"/>
  <c r="D137" i="11"/>
  <c r="D136" i="11"/>
  <c r="D133" i="11"/>
  <c r="F131" i="11"/>
  <c r="E131" i="11"/>
  <c r="H126" i="11"/>
  <c r="D125" i="11"/>
  <c r="D198" i="5" l="1"/>
  <c r="D197" i="5"/>
  <c r="D213" i="11"/>
  <c r="G134" i="6"/>
  <c r="I130" i="6"/>
  <c r="D127" i="6"/>
  <c r="D192" i="6"/>
  <c r="D196" i="6"/>
  <c r="G150" i="6"/>
  <c r="E37" i="6"/>
  <c r="H37" i="6"/>
  <c r="D180" i="6"/>
  <c r="D184" i="6"/>
  <c r="D41" i="17"/>
  <c r="G126" i="5"/>
  <c r="I174" i="5"/>
  <c r="I169" i="5" s="1"/>
  <c r="E73" i="17"/>
  <c r="D73" i="17" s="1"/>
  <c r="E74" i="17"/>
  <c r="D74" i="17" s="1"/>
  <c r="F174" i="5"/>
  <c r="F169" i="5" s="1"/>
  <c r="I129" i="5"/>
  <c r="I124" i="5" s="1"/>
  <c r="I121" i="5" s="1"/>
  <c r="G150" i="5"/>
  <c r="H41" i="17"/>
  <c r="G41" i="17" s="1"/>
  <c r="G180" i="5"/>
  <c r="H74" i="17"/>
  <c r="G74" i="17" s="1"/>
  <c r="H32" i="5"/>
  <c r="E32" i="5"/>
  <c r="E68" i="17"/>
  <c r="D68" i="17" s="1"/>
  <c r="E191" i="10"/>
  <c r="D191" i="10" s="1"/>
  <c r="E68" i="13"/>
  <c r="D68" i="13" s="1"/>
  <c r="G142" i="6"/>
  <c r="D207" i="6"/>
  <c r="G142" i="5"/>
  <c r="D186" i="5"/>
  <c r="D172" i="10"/>
  <c r="D176" i="10"/>
  <c r="D177" i="10"/>
  <c r="E73" i="13"/>
  <c r="D73" i="13" s="1"/>
  <c r="D185" i="10"/>
  <c r="E81" i="13"/>
  <c r="D81" i="13" s="1"/>
  <c r="F129" i="5"/>
  <c r="F124" i="5" s="1"/>
  <c r="F121" i="5" s="1"/>
  <c r="D202" i="5"/>
  <c r="E97" i="17"/>
  <c r="D97" i="17" s="1"/>
  <c r="H171" i="5"/>
  <c r="G171" i="5" s="1"/>
  <c r="H65" i="17"/>
  <c r="G202" i="5"/>
  <c r="H97" i="17"/>
  <c r="G97" i="17" s="1"/>
  <c r="F154" i="6"/>
  <c r="G184" i="6"/>
  <c r="H70" i="18"/>
  <c r="G70" i="18" s="1"/>
  <c r="G192" i="6"/>
  <c r="H78" i="18"/>
  <c r="G78" i="18" s="1"/>
  <c r="G204" i="6"/>
  <c r="H89" i="18"/>
  <c r="G89" i="18" s="1"/>
  <c r="G207" i="6"/>
  <c r="H92" i="18"/>
  <c r="G92" i="18" s="1"/>
  <c r="D131" i="11"/>
  <c r="E176" i="11"/>
  <c r="D176" i="11" s="1"/>
  <c r="D189" i="11"/>
  <c r="D193" i="11"/>
  <c r="E80" i="30"/>
  <c r="D80" i="30" s="1"/>
  <c r="D202" i="11"/>
  <c r="D211" i="11"/>
  <c r="E167" i="10"/>
  <c r="D167" i="10" s="1"/>
  <c r="E65" i="13"/>
  <c r="D178" i="10"/>
  <c r="E74" i="13"/>
  <c r="D74" i="13" s="1"/>
  <c r="F170" i="10"/>
  <c r="F165" i="10" s="1"/>
  <c r="D189" i="10"/>
  <c r="E85" i="13"/>
  <c r="D85" i="13" s="1"/>
  <c r="D193" i="10"/>
  <c r="E89" i="13"/>
  <c r="D204" i="10"/>
  <c r="E100" i="13"/>
  <c r="D100" i="13" s="1"/>
  <c r="D208" i="10"/>
  <c r="E104" i="13"/>
  <c r="D104" i="13" s="1"/>
  <c r="D150" i="5"/>
  <c r="E171" i="5"/>
  <c r="D171" i="5" s="1"/>
  <c r="D181" i="5"/>
  <c r="D188" i="5"/>
  <c r="E83" i="17"/>
  <c r="D83" i="17" s="1"/>
  <c r="G145" i="5"/>
  <c r="G188" i="5"/>
  <c r="H83" i="17"/>
  <c r="G83" i="17" s="1"/>
  <c r="H190" i="5"/>
  <c r="G190" i="5" s="1"/>
  <c r="G197" i="5"/>
  <c r="H92" i="17"/>
  <c r="D134" i="6"/>
  <c r="D150" i="6"/>
  <c r="G158" i="6"/>
  <c r="D171" i="6"/>
  <c r="D59" i="18"/>
  <c r="E57" i="18"/>
  <c r="D57" i="18" s="1"/>
  <c r="I174" i="6"/>
  <c r="D181" i="6"/>
  <c r="D185" i="6"/>
  <c r="D190" i="6"/>
  <c r="E79" i="18"/>
  <c r="D79" i="18" s="1"/>
  <c r="D81" i="18"/>
  <c r="G197" i="6"/>
  <c r="H82" i="18"/>
  <c r="G82" i="18" s="1"/>
  <c r="D205" i="6"/>
  <c r="D208" i="6"/>
  <c r="D65" i="30"/>
  <c r="E63" i="30"/>
  <c r="D63" i="30" s="1"/>
  <c r="D196" i="11"/>
  <c r="E83" i="30"/>
  <c r="D83" i="30" s="1"/>
  <c r="D198" i="11"/>
  <c r="E85" i="30"/>
  <c r="D85" i="30" s="1"/>
  <c r="D214" i="11"/>
  <c r="E101" i="30"/>
  <c r="D101" i="30" s="1"/>
  <c r="D179" i="10"/>
  <c r="E75" i="13"/>
  <c r="D75" i="13" s="1"/>
  <c r="E186" i="10"/>
  <c r="D194" i="10"/>
  <c r="E90" i="13"/>
  <c r="D90" i="13" s="1"/>
  <c r="D201" i="10"/>
  <c r="E97" i="13"/>
  <c r="D97" i="13" s="1"/>
  <c r="F66" i="13"/>
  <c r="D177" i="5"/>
  <c r="E69" i="17"/>
  <c r="D69" i="17" s="1"/>
  <c r="G198" i="5"/>
  <c r="H93" i="17"/>
  <c r="G93" i="17" s="1"/>
  <c r="F125" i="6"/>
  <c r="F122" i="6" s="1"/>
  <c r="F169" i="6"/>
  <c r="G173" i="6"/>
  <c r="H59" i="18"/>
  <c r="D187" i="6"/>
  <c r="E73" i="18"/>
  <c r="D73" i="18" s="1"/>
  <c r="E194" i="6"/>
  <c r="D194" i="6" s="1"/>
  <c r="G196" i="6"/>
  <c r="H81" i="18"/>
  <c r="D210" i="11"/>
  <c r="E97" i="30"/>
  <c r="D198" i="10"/>
  <c r="E94" i="13"/>
  <c r="D94" i="13" s="1"/>
  <c r="D129" i="5"/>
  <c r="E63" i="17"/>
  <c r="D63" i="17" s="1"/>
  <c r="D65" i="17"/>
  <c r="D191" i="5"/>
  <c r="E86" i="17"/>
  <c r="D86" i="17" s="1"/>
  <c r="G191" i="5"/>
  <c r="H86" i="17"/>
  <c r="G86" i="17" s="1"/>
  <c r="F174" i="11"/>
  <c r="D186" i="11"/>
  <c r="E73" i="30"/>
  <c r="D73" i="30" s="1"/>
  <c r="D89" i="30"/>
  <c r="F129" i="11"/>
  <c r="F126" i="11" s="1"/>
  <c r="D178" i="11"/>
  <c r="D203" i="11"/>
  <c r="E90" i="30"/>
  <c r="D90" i="30" s="1"/>
  <c r="D122" i="10"/>
  <c r="D180" i="10"/>
  <c r="D188" i="10"/>
  <c r="D206" i="10"/>
  <c r="D15" i="13"/>
  <c r="D145" i="5"/>
  <c r="D173" i="5"/>
  <c r="E195" i="5"/>
  <c r="D195" i="5" s="1"/>
  <c r="D92" i="17"/>
  <c r="E90" i="17"/>
  <c r="D90" i="17" s="1"/>
  <c r="D201" i="5"/>
  <c r="E96" i="17"/>
  <c r="D96" i="17" s="1"/>
  <c r="G173" i="5"/>
  <c r="G177" i="5"/>
  <c r="H69" i="17"/>
  <c r="G69" i="17" s="1"/>
  <c r="G186" i="5"/>
  <c r="H81" i="17"/>
  <c r="G81" i="17" s="1"/>
  <c r="G201" i="5"/>
  <c r="H96" i="17"/>
  <c r="G96" i="17" s="1"/>
  <c r="G206" i="5"/>
  <c r="H68" i="5"/>
  <c r="D145" i="6"/>
  <c r="D154" i="6"/>
  <c r="I169" i="6"/>
  <c r="G181" i="6"/>
  <c r="H67" i="18"/>
  <c r="G67" i="18" s="1"/>
  <c r="D183" i="6"/>
  <c r="G187" i="6"/>
  <c r="G190" i="6"/>
  <c r="H76" i="18"/>
  <c r="G76" i="18" s="1"/>
  <c r="D197" i="6"/>
  <c r="G205" i="6"/>
  <c r="H90" i="18"/>
  <c r="G90" i="18" s="1"/>
  <c r="G208" i="6"/>
  <c r="H93" i="18"/>
  <c r="G93" i="18" s="1"/>
  <c r="G205" i="5"/>
  <c r="H100" i="17"/>
  <c r="G100" i="17" s="1"/>
  <c r="G208" i="5"/>
  <c r="H103" i="17"/>
  <c r="G103" i="17" s="1"/>
  <c r="G210" i="5"/>
  <c r="G181" i="5"/>
  <c r="H75" i="17"/>
  <c r="G75" i="17" s="1"/>
  <c r="G184" i="5"/>
  <c r="D182" i="5"/>
  <c r="G185" i="6"/>
  <c r="H71" i="18"/>
  <c r="G71" i="18" s="1"/>
  <c r="G176" i="6"/>
  <c r="G180" i="6"/>
  <c r="H66" i="18"/>
  <c r="G66" i="18" s="1"/>
  <c r="G182" i="6"/>
  <c r="H68" i="18"/>
  <c r="G68" i="18" s="1"/>
  <c r="G183" i="6"/>
  <c r="H69" i="18"/>
  <c r="G188" i="6"/>
  <c r="G74" i="18"/>
  <c r="G72" i="18" s="1"/>
  <c r="H72" i="18"/>
  <c r="H186" i="6"/>
  <c r="G191" i="6"/>
  <c r="H77" i="18"/>
  <c r="G201" i="6"/>
  <c r="G206" i="6"/>
  <c r="H91" i="18"/>
  <c r="G91" i="18" s="1"/>
  <c r="G209" i="6"/>
  <c r="H94" i="18"/>
  <c r="G94" i="18" s="1"/>
  <c r="G211" i="6"/>
  <c r="H95" i="18"/>
  <c r="E202" i="6"/>
  <c r="D202" i="6" s="1"/>
  <c r="D209" i="6"/>
  <c r="D206" i="6"/>
  <c r="E87" i="18"/>
  <c r="D87" i="18" s="1"/>
  <c r="D91" i="18"/>
  <c r="D201" i="6"/>
  <c r="E86" i="18"/>
  <c r="D86" i="18" s="1"/>
  <c r="D200" i="6"/>
  <c r="E85" i="18"/>
  <c r="D77" i="18"/>
  <c r="E75" i="18"/>
  <c r="D75" i="18" s="1"/>
  <c r="E189" i="6"/>
  <c r="D189" i="6" s="1"/>
  <c r="D191" i="6"/>
  <c r="D188" i="6"/>
  <c r="E74" i="18"/>
  <c r="D186" i="6"/>
  <c r="E178" i="6"/>
  <c r="D178" i="6" s="1"/>
  <c r="D66" i="18"/>
  <c r="E64" i="18"/>
  <c r="D64" i="18" s="1"/>
  <c r="D177" i="6"/>
  <c r="E63" i="18"/>
  <c r="D63" i="18" s="1"/>
  <c r="D176" i="6"/>
  <c r="E62" i="18"/>
  <c r="E10" i="6"/>
  <c r="G212" i="5"/>
  <c r="H107" i="17"/>
  <c r="G107" i="17" s="1"/>
  <c r="G209" i="5"/>
  <c r="H104" i="17"/>
  <c r="G104" i="17" s="1"/>
  <c r="H203" i="5"/>
  <c r="G203" i="5" s="1"/>
  <c r="G207" i="5"/>
  <c r="H102" i="17"/>
  <c r="G193" i="5"/>
  <c r="H88" i="17"/>
  <c r="G88" i="17" s="1"/>
  <c r="G192" i="5"/>
  <c r="H87" i="17"/>
  <c r="G189" i="5"/>
  <c r="G187" i="5" s="1"/>
  <c r="H84" i="17"/>
  <c r="G183" i="5"/>
  <c r="H78" i="17"/>
  <c r="G78" i="17" s="1"/>
  <c r="G182" i="5"/>
  <c r="H77" i="17"/>
  <c r="G77" i="17" s="1"/>
  <c r="H178" i="5"/>
  <c r="G178" i="5" s="1"/>
  <c r="H73" i="17"/>
  <c r="G176" i="5"/>
  <c r="H68" i="17"/>
  <c r="D193" i="5"/>
  <c r="E88" i="17"/>
  <c r="D88" i="17" s="1"/>
  <c r="D192" i="5"/>
  <c r="E87" i="17"/>
  <c r="D189" i="5"/>
  <c r="D187" i="5" s="1"/>
  <c r="D184" i="5"/>
  <c r="D183" i="5"/>
  <c r="D180" i="5"/>
  <c r="E178" i="5"/>
  <c r="D178" i="5" s="1"/>
  <c r="D182" i="10"/>
  <c r="E78" i="13"/>
  <c r="D78" i="13" s="1"/>
  <c r="D205" i="10"/>
  <c r="E101" i="13"/>
  <c r="D101" i="13" s="1"/>
  <c r="D203" i="10"/>
  <c r="E99" i="13"/>
  <c r="D99" i="13" s="1"/>
  <c r="D98" i="13"/>
  <c r="D202" i="10"/>
  <c r="D197" i="10"/>
  <c r="E93" i="13"/>
  <c r="D93" i="13" s="1"/>
  <c r="D187" i="10"/>
  <c r="E83" i="13"/>
  <c r="D184" i="10"/>
  <c r="E80" i="13"/>
  <c r="D173" i="10"/>
  <c r="E69" i="13"/>
  <c r="D69" i="13" s="1"/>
  <c r="D217" i="11"/>
  <c r="E104" i="30"/>
  <c r="D104" i="30" s="1"/>
  <c r="D215" i="11"/>
  <c r="E102" i="30"/>
  <c r="D212" i="11"/>
  <c r="E99" i="30"/>
  <c r="D207" i="11"/>
  <c r="E94" i="30"/>
  <c r="D94" i="30" s="1"/>
  <c r="D206" i="11"/>
  <c r="E93" i="30"/>
  <c r="D197" i="11"/>
  <c r="E84" i="30"/>
  <c r="D194" i="11"/>
  <c r="D192" i="11" s="1"/>
  <c r="E81" i="30"/>
  <c r="D191" i="11"/>
  <c r="E78" i="30"/>
  <c r="D78" i="30" s="1"/>
  <c r="D188" i="11"/>
  <c r="E75" i="30"/>
  <c r="D75" i="30" s="1"/>
  <c r="D187" i="11"/>
  <c r="E74" i="30"/>
  <c r="D74" i="30" s="1"/>
  <c r="D72" i="30"/>
  <c r="D185" i="11"/>
  <c r="D182" i="11"/>
  <c r="E69" i="30"/>
  <c r="D69" i="30" s="1"/>
  <c r="D181" i="11"/>
  <c r="E68" i="30"/>
  <c r="F61" i="13"/>
  <c r="D34" i="13"/>
  <c r="I125" i="6"/>
  <c r="I122" i="6" s="1"/>
  <c r="E186" i="6"/>
  <c r="E198" i="6"/>
  <c r="D198" i="6" s="1"/>
  <c r="H125" i="6"/>
  <c r="H154" i="6"/>
  <c r="G154" i="6" s="1"/>
  <c r="H171" i="6"/>
  <c r="H178" i="6"/>
  <c r="H189" i="6"/>
  <c r="G189" i="6" s="1"/>
  <c r="H202" i="6"/>
  <c r="E69" i="6"/>
  <c r="H69" i="6"/>
  <c r="H195" i="5"/>
  <c r="G195" i="5" s="1"/>
  <c r="H187" i="5"/>
  <c r="H154" i="5"/>
  <c r="G154" i="5" s="1"/>
  <c r="H129" i="5"/>
  <c r="D18" i="13"/>
  <c r="D42" i="13"/>
  <c r="F18" i="13"/>
  <c r="F13" i="13" s="1"/>
  <c r="F10" i="13" s="1"/>
  <c r="D141" i="10"/>
  <c r="D169" i="10"/>
  <c r="E174" i="10"/>
  <c r="D174" i="10" s="1"/>
  <c r="D186" i="10"/>
  <c r="E199" i="10"/>
  <c r="D199" i="10" s="1"/>
  <c r="F125" i="10"/>
  <c r="D125" i="10" s="1"/>
  <c r="D138" i="10"/>
  <c r="D154" i="10"/>
  <c r="D147" i="11"/>
  <c r="E208" i="11"/>
  <c r="D208" i="11" s="1"/>
  <c r="D134" i="11"/>
  <c r="E195" i="11"/>
  <c r="D195" i="11" s="1"/>
  <c r="E68" i="5"/>
  <c r="D126" i="5"/>
  <c r="D142" i="5"/>
  <c r="E190" i="5"/>
  <c r="D190" i="5" s="1"/>
  <c r="D133" i="5"/>
  <c r="E124" i="5"/>
  <c r="D176" i="5"/>
  <c r="E187" i="5"/>
  <c r="E154" i="5"/>
  <c r="D154" i="5" s="1"/>
  <c r="D22" i="13"/>
  <c r="E46" i="13"/>
  <c r="D46" i="13" s="1"/>
  <c r="E120" i="10"/>
  <c r="E183" i="10"/>
  <c r="E150" i="10"/>
  <c r="D150" i="10" s="1"/>
  <c r="E129" i="11"/>
  <c r="E192" i="11"/>
  <c r="E200" i="11"/>
  <c r="D200" i="11" s="1"/>
  <c r="E183" i="11"/>
  <c r="D183" i="11" s="1"/>
  <c r="D159" i="11"/>
  <c r="H22" i="5" l="1"/>
  <c r="H20" i="5" s="1"/>
  <c r="H9" i="5" s="1"/>
  <c r="E70" i="17"/>
  <c r="D70" i="17" s="1"/>
  <c r="D97" i="30"/>
  <c r="E95" i="30"/>
  <c r="D95" i="30" s="1"/>
  <c r="E87" i="30"/>
  <c r="D87" i="30" s="1"/>
  <c r="H174" i="5"/>
  <c r="G174" i="5" s="1"/>
  <c r="E174" i="5"/>
  <c r="D174" i="5" s="1"/>
  <c r="D102" i="30"/>
  <c r="D183" i="10"/>
  <c r="E170" i="10"/>
  <c r="D170" i="10" s="1"/>
  <c r="E204" i="11"/>
  <c r="D204" i="11" s="1"/>
  <c r="F120" i="10"/>
  <c r="F117" i="10" s="1"/>
  <c r="E174" i="6"/>
  <c r="D174" i="6" s="1"/>
  <c r="G186" i="6"/>
  <c r="G81" i="18"/>
  <c r="H79" i="18"/>
  <c r="G79" i="18" s="1"/>
  <c r="H57" i="18"/>
  <c r="G57" i="18" s="1"/>
  <c r="G59" i="18"/>
  <c r="H90" i="17"/>
  <c r="G90" i="17" s="1"/>
  <c r="G92" i="17"/>
  <c r="E70" i="13"/>
  <c r="D70" i="13" s="1"/>
  <c r="D65" i="13"/>
  <c r="E63" i="13"/>
  <c r="D63" i="13" s="1"/>
  <c r="G65" i="17"/>
  <c r="H63" i="17"/>
  <c r="G63" i="17" s="1"/>
  <c r="E87" i="13"/>
  <c r="D87" i="13" s="1"/>
  <c r="D89" i="13"/>
  <c r="H199" i="5"/>
  <c r="G199" i="5" s="1"/>
  <c r="H27" i="6"/>
  <c r="H25" i="6" s="1"/>
  <c r="H9" i="6" s="1"/>
  <c r="H64" i="18"/>
  <c r="G64" i="18" s="1"/>
  <c r="G69" i="18"/>
  <c r="G77" i="18"/>
  <c r="H75" i="18"/>
  <c r="G95" i="18"/>
  <c r="H87" i="18"/>
  <c r="D85" i="18"/>
  <c r="E83" i="18"/>
  <c r="D83" i="18" s="1"/>
  <c r="D74" i="18"/>
  <c r="D72" i="18" s="1"/>
  <c r="E72" i="18"/>
  <c r="E60" i="18" s="1"/>
  <c r="D62" i="18"/>
  <c r="G102" i="17"/>
  <c r="H98" i="17"/>
  <c r="H85" i="17"/>
  <c r="G85" i="17" s="1"/>
  <c r="G87" i="17"/>
  <c r="H82" i="17"/>
  <c r="G84" i="17"/>
  <c r="G82" i="17" s="1"/>
  <c r="H70" i="17"/>
  <c r="G70" i="17" s="1"/>
  <c r="G73" i="17"/>
  <c r="G68" i="17"/>
  <c r="E22" i="5"/>
  <c r="E85" i="17"/>
  <c r="D85" i="17" s="1"/>
  <c r="D87" i="17"/>
  <c r="D84" i="17"/>
  <c r="D82" i="17" s="1"/>
  <c r="E82" i="17"/>
  <c r="E95" i="13"/>
  <c r="D95" i="13" s="1"/>
  <c r="D83" i="13"/>
  <c r="E82" i="13"/>
  <c r="D82" i="13" s="1"/>
  <c r="D80" i="13"/>
  <c r="D79" i="13" s="1"/>
  <c r="E79" i="13"/>
  <c r="D99" i="30"/>
  <c r="D93" i="30"/>
  <c r="D84" i="30"/>
  <c r="E82" i="30"/>
  <c r="D82" i="30" s="1"/>
  <c r="D81" i="30"/>
  <c r="D79" i="30" s="1"/>
  <c r="E79" i="30"/>
  <c r="E70" i="30"/>
  <c r="D68" i="30"/>
  <c r="E13" i="13"/>
  <c r="G178" i="6"/>
  <c r="H174" i="6"/>
  <c r="G174" i="6" s="1"/>
  <c r="G171" i="6"/>
  <c r="E125" i="6"/>
  <c r="D130" i="6"/>
  <c r="G202" i="6"/>
  <c r="H198" i="6"/>
  <c r="G198" i="6" s="1"/>
  <c r="G130" i="6"/>
  <c r="G125" i="6"/>
  <c r="E27" i="6"/>
  <c r="E25" i="6" s="1"/>
  <c r="E9" i="6" s="1"/>
  <c r="G129" i="5"/>
  <c r="H124" i="5"/>
  <c r="E195" i="10"/>
  <c r="D195" i="10" s="1"/>
  <c r="E179" i="11"/>
  <c r="D179" i="11" s="1"/>
  <c r="D124" i="5"/>
  <c r="D129" i="11"/>
  <c r="E169" i="6" l="1"/>
  <c r="D169" i="6" s="1"/>
  <c r="E66" i="17"/>
  <c r="D66" i="17" s="1"/>
  <c r="D70" i="30"/>
  <c r="E66" i="30"/>
  <c r="D66" i="30" s="1"/>
  <c r="D120" i="10"/>
  <c r="H66" i="17"/>
  <c r="G66" i="17" s="1"/>
  <c r="E66" i="13"/>
  <c r="D66" i="13" s="1"/>
  <c r="G75" i="18"/>
  <c r="H60" i="18"/>
  <c r="G87" i="18"/>
  <c r="H83" i="18"/>
  <c r="D60" i="18"/>
  <c r="E55" i="18"/>
  <c r="H94" i="17"/>
  <c r="G94" i="17" s="1"/>
  <c r="G98" i="17"/>
  <c r="H169" i="5"/>
  <c r="G169" i="5" s="1"/>
  <c r="E91" i="13"/>
  <c r="D91" i="13" s="1"/>
  <c r="E165" i="10"/>
  <c r="D165" i="10" s="1"/>
  <c r="E91" i="30"/>
  <c r="D91" i="30" s="1"/>
  <c r="E174" i="11"/>
  <c r="D174" i="11" s="1"/>
  <c r="D13" i="13"/>
  <c r="H169" i="6"/>
  <c r="E122" i="6"/>
  <c r="D122" i="6" s="1"/>
  <c r="L122" i="6" s="1"/>
  <c r="M122" i="6" s="1"/>
  <c r="D125" i="6"/>
  <c r="G124" i="5"/>
  <c r="E169" i="5"/>
  <c r="E117" i="10" l="1"/>
  <c r="D117" i="10" s="1"/>
  <c r="I117" i="10" s="1"/>
  <c r="E61" i="13"/>
  <c r="D61" i="13" s="1"/>
  <c r="E61" i="17"/>
  <c r="D61" i="17" s="1"/>
  <c r="G60" i="18"/>
  <c r="H55" i="18"/>
  <c r="G55" i="18" s="1"/>
  <c r="G83" i="18"/>
  <c r="D55" i="18"/>
  <c r="E10" i="18"/>
  <c r="D10" i="18" s="1"/>
  <c r="H121" i="5"/>
  <c r="G121" i="5" s="1"/>
  <c r="O121" i="5" s="1"/>
  <c r="P121" i="5" s="1"/>
  <c r="H61" i="17"/>
  <c r="G61" i="17" s="1"/>
  <c r="E126" i="11"/>
  <c r="D126" i="11" s="1"/>
  <c r="I126" i="11" s="1"/>
  <c r="E61" i="30"/>
  <c r="E10" i="30" s="1"/>
  <c r="G169" i="6"/>
  <c r="H122" i="6"/>
  <c r="G122" i="6" s="1"/>
  <c r="O122" i="6" s="1"/>
  <c r="P122" i="6" s="1"/>
  <c r="D169" i="5"/>
  <c r="D10" i="30" l="1"/>
  <c r="E9" i="30"/>
  <c r="D9" i="30" s="1"/>
  <c r="E10" i="13"/>
  <c r="D10" i="13" s="1"/>
  <c r="H10" i="18"/>
  <c r="G10" i="18" s="1"/>
  <c r="H10" i="17"/>
  <c r="D61" i="30"/>
  <c r="H121" i="9"/>
  <c r="E210" i="9"/>
  <c r="E101" i="1" s="1"/>
  <c r="E211" i="9"/>
  <c r="E102" i="1" s="1"/>
  <c r="E212" i="9"/>
  <c r="E213" i="9"/>
  <c r="E104" i="1" s="1"/>
  <c r="E105" i="1"/>
  <c r="E216" i="9"/>
  <c r="E107" i="1" s="1"/>
  <c r="E209" i="9"/>
  <c r="E100" i="1" s="1"/>
  <c r="E206" i="9"/>
  <c r="E97" i="1" s="1"/>
  <c r="E205" i="9"/>
  <c r="E96" i="1" s="1"/>
  <c r="E202" i="9"/>
  <c r="E93" i="1" s="1"/>
  <c r="G10" i="17" l="1"/>
  <c r="H9" i="17"/>
  <c r="G9" i="17" s="1"/>
  <c r="E103" i="1"/>
  <c r="E98" i="1" s="1"/>
  <c r="E94" i="1" s="1"/>
  <c r="E207" i="9"/>
  <c r="E201" i="9"/>
  <c r="E195" i="9"/>
  <c r="E86" i="1" s="1"/>
  <c r="E192" i="9"/>
  <c r="E193" i="9"/>
  <c r="D193" i="9" s="1"/>
  <c r="E190" i="9"/>
  <c r="E184" i="9"/>
  <c r="E186" i="9"/>
  <c r="E77" i="1" s="1"/>
  <c r="E187" i="9"/>
  <c r="E188" i="9"/>
  <c r="E182" i="9"/>
  <c r="E74" i="1" s="1"/>
  <c r="D74" i="1" s="1"/>
  <c r="E179" i="9"/>
  <c r="E69" i="1" s="1"/>
  <c r="E68" i="1"/>
  <c r="E175" i="9"/>
  <c r="D216" i="9"/>
  <c r="D213" i="9"/>
  <c r="D212" i="9"/>
  <c r="D211" i="9"/>
  <c r="D210" i="9"/>
  <c r="D209" i="9"/>
  <c r="F207" i="9"/>
  <c r="F203" i="9" s="1"/>
  <c r="D206" i="9"/>
  <c r="D205" i="9"/>
  <c r="D202" i="9"/>
  <c r="D201" i="9"/>
  <c r="D200" i="9"/>
  <c r="F199" i="9"/>
  <c r="F194" i="9"/>
  <c r="F191" i="9"/>
  <c r="F180" i="9"/>
  <c r="F173" i="9"/>
  <c r="D169" i="9"/>
  <c r="D166" i="9"/>
  <c r="D165" i="9"/>
  <c r="D164" i="9"/>
  <c r="D163" i="9"/>
  <c r="D162" i="9"/>
  <c r="F160" i="9"/>
  <c r="D159" i="9"/>
  <c r="D158" i="9"/>
  <c r="F156" i="9"/>
  <c r="D155" i="9"/>
  <c r="D154" i="9"/>
  <c r="D153" i="9"/>
  <c r="F152" i="9"/>
  <c r="E152" i="9"/>
  <c r="D150" i="9"/>
  <c r="D149" i="9"/>
  <c r="D148" i="9"/>
  <c r="F147" i="9"/>
  <c r="E147" i="9"/>
  <c r="D147" i="9" s="1"/>
  <c r="D146" i="9"/>
  <c r="D145" i="9"/>
  <c r="F144" i="9"/>
  <c r="E144" i="9"/>
  <c r="D143" i="9"/>
  <c r="D141" i="9"/>
  <c r="D140" i="9"/>
  <c r="D139" i="9"/>
  <c r="D137" i="9"/>
  <c r="D135" i="9"/>
  <c r="F133" i="9"/>
  <c r="F129" i="9" s="1"/>
  <c r="E133" i="9"/>
  <c r="D132" i="9"/>
  <c r="D131" i="9"/>
  <c r="D128" i="9"/>
  <c r="F126" i="9"/>
  <c r="E126" i="9"/>
  <c r="D120" i="9"/>
  <c r="E129" i="9" l="1"/>
  <c r="D129" i="9" s="1"/>
  <c r="D179" i="9"/>
  <c r="D186" i="9"/>
  <c r="D190" i="9"/>
  <c r="E81" i="1"/>
  <c r="E173" i="9"/>
  <c r="E65" i="1"/>
  <c r="D152" i="9"/>
  <c r="D192" i="9"/>
  <c r="E83" i="1"/>
  <c r="E199" i="9"/>
  <c r="D199" i="9" s="1"/>
  <c r="E92" i="1"/>
  <c r="D184" i="9"/>
  <c r="E75" i="1"/>
  <c r="D197" i="9"/>
  <c r="E88" i="1"/>
  <c r="D196" i="9"/>
  <c r="E87" i="1"/>
  <c r="E191" i="9"/>
  <c r="E84" i="1"/>
  <c r="D188" i="9"/>
  <c r="E79" i="1"/>
  <c r="D187" i="9"/>
  <c r="E78" i="1"/>
  <c r="D182" i="9"/>
  <c r="E73" i="1"/>
  <c r="D178" i="9"/>
  <c r="D160" i="9"/>
  <c r="D126" i="9"/>
  <c r="D175" i="9"/>
  <c r="E156" i="9"/>
  <c r="D156" i="9" s="1"/>
  <c r="D207" i="9"/>
  <c r="D191" i="9"/>
  <c r="D173" i="9"/>
  <c r="F124" i="9"/>
  <c r="F121" i="9" s="1"/>
  <c r="D144" i="9"/>
  <c r="E180" i="9"/>
  <c r="D180" i="9" s="1"/>
  <c r="E194" i="9"/>
  <c r="D194" i="9" s="1"/>
  <c r="D195" i="9"/>
  <c r="F176" i="9"/>
  <c r="F171" i="9" s="1"/>
  <c r="D133" i="9"/>
  <c r="E203" i="9"/>
  <c r="D203" i="9" s="1"/>
  <c r="E124" i="9" l="1"/>
  <c r="D124" i="9" s="1"/>
  <c r="E176" i="9"/>
  <c r="E171" i="9" s="1"/>
  <c r="E121" i="9" l="1"/>
  <c r="D121" i="9" s="1"/>
  <c r="I121" i="9" s="1"/>
  <c r="D176" i="9"/>
  <c r="D171" i="9"/>
  <c r="D107" i="1" l="1"/>
  <c r="D105" i="1"/>
  <c r="D104" i="1"/>
  <c r="D103" i="1"/>
  <c r="D102" i="1"/>
  <c r="D101" i="1"/>
  <c r="D100" i="1"/>
  <c r="F98" i="1"/>
  <c r="F94" i="1" s="1"/>
  <c r="D97" i="1"/>
  <c r="D96" i="1"/>
  <c r="D93" i="1"/>
  <c r="D92" i="1"/>
  <c r="D91" i="1"/>
  <c r="F90" i="1"/>
  <c r="E90" i="1"/>
  <c r="D88" i="1"/>
  <c r="D87" i="1"/>
  <c r="D86" i="1"/>
  <c r="F85" i="1"/>
  <c r="E85" i="1"/>
  <c r="D84" i="1"/>
  <c r="D83" i="1"/>
  <c r="F82" i="1"/>
  <c r="E82" i="1"/>
  <c r="D81" i="1"/>
  <c r="D79" i="1"/>
  <c r="D78" i="1"/>
  <c r="D77" i="1"/>
  <c r="D75" i="1"/>
  <c r="D73" i="1"/>
  <c r="F70" i="1"/>
  <c r="F66" i="1" s="1"/>
  <c r="E70" i="1"/>
  <c r="D69" i="1"/>
  <c r="D68" i="1"/>
  <c r="D65" i="1"/>
  <c r="F63" i="1"/>
  <c r="E63" i="1"/>
  <c r="E66" i="1" l="1"/>
  <c r="D66" i="1" s="1"/>
  <c r="D70" i="1"/>
  <c r="D90" i="1"/>
  <c r="D98" i="1"/>
  <c r="D82" i="1"/>
  <c r="F61" i="1"/>
  <c r="D85" i="1"/>
  <c r="D63" i="1"/>
  <c r="D94" i="1"/>
  <c r="F42" i="1"/>
  <c r="E42" i="1"/>
  <c r="F37" i="1"/>
  <c r="E37" i="1"/>
  <c r="F15" i="1"/>
  <c r="E15" i="1"/>
  <c r="D59" i="1"/>
  <c r="D57" i="1"/>
  <c r="D56" i="1"/>
  <c r="D55" i="1"/>
  <c r="D54" i="1"/>
  <c r="D53" i="1"/>
  <c r="D52" i="1"/>
  <c r="F50" i="1"/>
  <c r="F46" i="1" s="1"/>
  <c r="E46" i="1"/>
  <c r="D49" i="1"/>
  <c r="D48" i="1"/>
  <c r="D43" i="1"/>
  <c r="D40" i="1"/>
  <c r="D39" i="1"/>
  <c r="D38" i="1"/>
  <c r="D35" i="1"/>
  <c r="F34" i="1"/>
  <c r="E34" i="1"/>
  <c r="D33" i="1"/>
  <c r="D31" i="1"/>
  <c r="D30" i="1"/>
  <c r="D29" i="1"/>
  <c r="D27" i="1"/>
  <c r="D25" i="1"/>
  <c r="F22" i="1"/>
  <c r="E22" i="1"/>
  <c r="E18" i="1" l="1"/>
  <c r="E13" i="1" s="1"/>
  <c r="D13" i="1" s="1"/>
  <c r="E61" i="1"/>
  <c r="D15" i="1"/>
  <c r="D21" i="1"/>
  <c r="D50" i="1"/>
  <c r="D17" i="1"/>
  <c r="D46" i="1"/>
  <c r="D22" i="1"/>
  <c r="D37" i="1"/>
  <c r="D34" i="1"/>
  <c r="D45" i="1"/>
  <c r="F18" i="1"/>
  <c r="F13" i="1" s="1"/>
  <c r="F10" i="1" s="1"/>
  <c r="D44" i="1"/>
  <c r="D61" i="1" l="1"/>
  <c r="E10" i="1"/>
  <c r="E9" i="1" s="1"/>
  <c r="D9" i="1" s="1"/>
  <c r="D42" i="1"/>
  <c r="D18" i="1"/>
  <c r="G107" i="6" l="1"/>
  <c r="F94" i="27" s="1"/>
  <c r="D107" i="6"/>
  <c r="F94" i="26" s="1"/>
  <c r="G106" i="6"/>
  <c r="F93" i="27" s="1"/>
  <c r="D106" i="6"/>
  <c r="F93" i="26" s="1"/>
  <c r="G105" i="6"/>
  <c r="F92" i="27" s="1"/>
  <c r="D105" i="6"/>
  <c r="F92" i="26" s="1"/>
  <c r="I103" i="6"/>
  <c r="G103" i="6"/>
  <c r="F103" i="6"/>
  <c r="D103" i="6" s="1"/>
  <c r="G102" i="6"/>
  <c r="F394" i="27" s="1"/>
  <c r="D102" i="6"/>
  <c r="F394" i="26" s="1"/>
  <c r="G100" i="6"/>
  <c r="F392" i="27" s="1"/>
  <c r="D100" i="6"/>
  <c r="F392" i="26" s="1"/>
  <c r="G99" i="6"/>
  <c r="F390" i="27" s="1"/>
  <c r="D99" i="6"/>
  <c r="F390" i="26" s="1"/>
  <c r="G98" i="6"/>
  <c r="F388" i="27" s="1"/>
  <c r="D98" i="6"/>
  <c r="F388" i="26" s="1"/>
  <c r="G97" i="6"/>
  <c r="F386" i="27" s="1"/>
  <c r="D97" i="6"/>
  <c r="F386" i="26" s="1"/>
  <c r="G96" i="6"/>
  <c r="F384" i="27" s="1"/>
  <c r="D96" i="6"/>
  <c r="F384" i="26" s="1"/>
  <c r="G95" i="6"/>
  <c r="F382" i="27" s="1"/>
  <c r="D95" i="6"/>
  <c r="F382" i="26" s="1"/>
  <c r="I89" i="6"/>
  <c r="G89" i="6" s="1"/>
  <c r="F89" i="6"/>
  <c r="D89" i="6" s="1"/>
  <c r="G92" i="6"/>
  <c r="F372" i="27" s="1"/>
  <c r="D92" i="6"/>
  <c r="F372" i="26" s="1"/>
  <c r="G91" i="6"/>
  <c r="F363" i="27" s="1"/>
  <c r="D91" i="6"/>
  <c r="F363" i="26" s="1"/>
  <c r="G88" i="6"/>
  <c r="F247" i="27" s="1"/>
  <c r="D88" i="6"/>
  <c r="F247" i="26" s="1"/>
  <c r="G86" i="6"/>
  <c r="F355" i="27" s="1"/>
  <c r="D86" i="6"/>
  <c r="F355" i="26" s="1"/>
  <c r="G84" i="6"/>
  <c r="F245" i="27" s="1"/>
  <c r="D84" i="6"/>
  <c r="F245" i="26" s="1"/>
  <c r="G82" i="6"/>
  <c r="F230" i="27" s="1"/>
  <c r="D82" i="6"/>
  <c r="F230" i="26" s="1"/>
  <c r="G81" i="6"/>
  <c r="F223" i="27" s="1"/>
  <c r="D81" i="6"/>
  <c r="F223" i="26" s="1"/>
  <c r="G80" i="6"/>
  <c r="F216" i="27" s="1"/>
  <c r="D80" i="6"/>
  <c r="F216" i="26" s="1"/>
  <c r="G79" i="6"/>
  <c r="F353" i="27" s="1"/>
  <c r="D79" i="6"/>
  <c r="F353" i="26" s="1"/>
  <c r="I78" i="6"/>
  <c r="G78" i="6" s="1"/>
  <c r="F78" i="6"/>
  <c r="D78" i="6" s="1"/>
  <c r="G77" i="6"/>
  <c r="F243" i="27" s="1"/>
  <c r="D77" i="6"/>
  <c r="F243" i="26" s="1"/>
  <c r="G76" i="6"/>
  <c r="F241" i="27" s="1"/>
  <c r="D76" i="6"/>
  <c r="F241" i="26" s="1"/>
  <c r="G75" i="6"/>
  <c r="F239" i="27" s="1"/>
  <c r="D75" i="6"/>
  <c r="F239" i="26" s="1"/>
  <c r="G74" i="6"/>
  <c r="F207" i="27" s="1"/>
  <c r="D74" i="6"/>
  <c r="F207" i="26" s="1"/>
  <c r="G73" i="6"/>
  <c r="F200" i="27" s="1"/>
  <c r="D73" i="6"/>
  <c r="F200" i="26" s="1"/>
  <c r="G72" i="6"/>
  <c r="F193" i="27" s="1"/>
  <c r="D72" i="6"/>
  <c r="F193" i="26" s="1"/>
  <c r="I71" i="6"/>
  <c r="G71" i="6" s="1"/>
  <c r="F71" i="6"/>
  <c r="D71" i="6" s="1"/>
  <c r="G70" i="6"/>
  <c r="D70" i="6"/>
  <c r="G68" i="6"/>
  <c r="F177" i="27" s="1"/>
  <c r="D68" i="6"/>
  <c r="F177" i="26" s="1"/>
  <c r="G67" i="6"/>
  <c r="D67" i="6"/>
  <c r="G66" i="6"/>
  <c r="F171" i="27" s="1"/>
  <c r="D66" i="6"/>
  <c r="F171" i="26" s="1"/>
  <c r="I65" i="6"/>
  <c r="G62" i="6" s="1"/>
  <c r="F65" i="6"/>
  <c r="D65" i="6" s="1"/>
  <c r="G63" i="6"/>
  <c r="F185" i="27" s="1"/>
  <c r="D63" i="6"/>
  <c r="F185" i="26" s="1"/>
  <c r="G60" i="6"/>
  <c r="E343" i="27" s="1"/>
  <c r="E343" i="26"/>
  <c r="G59" i="6"/>
  <c r="F332" i="27" s="1"/>
  <c r="D59" i="6"/>
  <c r="F332" i="26" s="1"/>
  <c r="G58" i="6"/>
  <c r="F325" i="27" s="1"/>
  <c r="D58" i="6"/>
  <c r="F325" i="26" s="1"/>
  <c r="G57" i="6"/>
  <c r="F162" i="27" s="1"/>
  <c r="D57" i="6"/>
  <c r="F162" i="26" s="1"/>
  <c r="G56" i="6"/>
  <c r="F156" i="27" s="1"/>
  <c r="D56" i="6"/>
  <c r="F156" i="26" s="1"/>
  <c r="G55" i="6"/>
  <c r="F148" i="27" s="1"/>
  <c r="D55" i="6"/>
  <c r="F148" i="26" s="1"/>
  <c r="I54" i="6"/>
  <c r="G54" i="6" s="1"/>
  <c r="F54" i="6"/>
  <c r="D54" i="6" s="1"/>
  <c r="G53" i="6"/>
  <c r="F313" i="27" s="1"/>
  <c r="D53" i="6"/>
  <c r="F313" i="26" s="1"/>
  <c r="G52" i="6"/>
  <c r="F306" i="27" s="1"/>
  <c r="D52" i="6"/>
  <c r="F306" i="26" s="1"/>
  <c r="I51" i="6"/>
  <c r="F51" i="6"/>
  <c r="G50" i="6"/>
  <c r="F297" i="27" s="1"/>
  <c r="D50" i="6"/>
  <c r="F297" i="26" s="1"/>
  <c r="G49" i="6"/>
  <c r="F289" i="27" s="1"/>
  <c r="D49" i="6"/>
  <c r="F289" i="26" s="1"/>
  <c r="G48" i="6"/>
  <c r="F288" i="27" s="1"/>
  <c r="D48" i="6"/>
  <c r="F288" i="26" s="1"/>
  <c r="G47" i="6"/>
  <c r="F287" i="27" s="1"/>
  <c r="D47" i="6"/>
  <c r="F287" i="26" s="1"/>
  <c r="G46" i="6"/>
  <c r="F286" i="27" s="1"/>
  <c r="D46" i="6"/>
  <c r="F286" i="26" s="1"/>
  <c r="G45" i="6"/>
  <c r="F285" i="27" s="1"/>
  <c r="D45" i="6"/>
  <c r="F285" i="26" s="1"/>
  <c r="I43" i="6"/>
  <c r="G43" i="6" s="1"/>
  <c r="F43" i="6"/>
  <c r="D43" i="6" s="1"/>
  <c r="G42" i="6"/>
  <c r="F276" i="27" s="1"/>
  <c r="D42" i="6"/>
  <c r="F276" i="26" s="1"/>
  <c r="G41" i="6"/>
  <c r="F140" i="27" s="1"/>
  <c r="D41" i="6"/>
  <c r="F140" i="26" s="1"/>
  <c r="I40" i="6"/>
  <c r="F40" i="6"/>
  <c r="F37" i="6" s="1"/>
  <c r="D37" i="6" s="1"/>
  <c r="D40" i="6"/>
  <c r="G39" i="6"/>
  <c r="F266" i="27" s="1"/>
  <c r="D39" i="6"/>
  <c r="F266" i="26" s="1"/>
  <c r="G35" i="6"/>
  <c r="F132" i="27" s="1"/>
  <c r="D35" i="6"/>
  <c r="F132" i="26" s="1"/>
  <c r="I34" i="6"/>
  <c r="G34" i="6" s="1"/>
  <c r="F34" i="6"/>
  <c r="D34" i="6" s="1"/>
  <c r="G33" i="6"/>
  <c r="D33" i="6"/>
  <c r="G32" i="6"/>
  <c r="F124" i="27" s="1"/>
  <c r="D32" i="6"/>
  <c r="F124" i="26" s="1"/>
  <c r="G31" i="6"/>
  <c r="D31" i="6"/>
  <c r="G106" i="5"/>
  <c r="G105" i="5"/>
  <c r="G104" i="5"/>
  <c r="I102" i="5"/>
  <c r="G102" i="5" s="1"/>
  <c r="G101" i="5"/>
  <c r="G99" i="5"/>
  <c r="G98" i="5"/>
  <c r="G97" i="5"/>
  <c r="G96" i="5"/>
  <c r="G95" i="5"/>
  <c r="G94" i="5"/>
  <c r="I92" i="5"/>
  <c r="I88" i="5" s="1"/>
  <c r="G91" i="5"/>
  <c r="G90" i="5"/>
  <c r="G83" i="5"/>
  <c r="G81" i="5"/>
  <c r="G80" i="5"/>
  <c r="G79" i="5"/>
  <c r="G78" i="5"/>
  <c r="I77" i="5"/>
  <c r="G77" i="5" s="1"/>
  <c r="G76" i="5"/>
  <c r="G75" i="5"/>
  <c r="G74" i="5"/>
  <c r="G73" i="5"/>
  <c r="G72" i="5"/>
  <c r="G71" i="5"/>
  <c r="I70" i="5"/>
  <c r="G70" i="5" s="1"/>
  <c r="G69" i="5"/>
  <c r="G67" i="5"/>
  <c r="G66" i="5"/>
  <c r="G65" i="5"/>
  <c r="I64" i="5"/>
  <c r="G62" i="5"/>
  <c r="G59" i="5"/>
  <c r="G58" i="5"/>
  <c r="G57" i="5"/>
  <c r="G56" i="5"/>
  <c r="G55" i="5"/>
  <c r="G54" i="5"/>
  <c r="I53" i="5"/>
  <c r="G53" i="5" s="1"/>
  <c r="G52" i="5"/>
  <c r="G51" i="5"/>
  <c r="I50" i="5"/>
  <c r="G49" i="5"/>
  <c r="G47" i="5"/>
  <c r="G46" i="5"/>
  <c r="G45" i="5"/>
  <c r="G43" i="5"/>
  <c r="G41" i="5"/>
  <c r="I38" i="5"/>
  <c r="G38" i="5" s="1"/>
  <c r="G37" i="5"/>
  <c r="G36" i="5"/>
  <c r="I35" i="5"/>
  <c r="G34" i="5"/>
  <c r="G30" i="5"/>
  <c r="I29" i="5"/>
  <c r="D106" i="5"/>
  <c r="D105" i="5"/>
  <c r="D104" i="5"/>
  <c r="F102" i="5"/>
  <c r="D102" i="5" s="1"/>
  <c r="F92" i="5"/>
  <c r="F88" i="5" s="1"/>
  <c r="D91" i="5"/>
  <c r="D90" i="5"/>
  <c r="D85" i="5"/>
  <c r="D83" i="5"/>
  <c r="D81" i="5"/>
  <c r="D80" i="5"/>
  <c r="D79" i="5"/>
  <c r="D78" i="5"/>
  <c r="F77" i="5"/>
  <c r="D77" i="5" s="1"/>
  <c r="D76" i="5"/>
  <c r="D75" i="5"/>
  <c r="D74" i="5"/>
  <c r="D73" i="5"/>
  <c r="D72" i="5"/>
  <c r="D71" i="5"/>
  <c r="F70" i="5"/>
  <c r="D69" i="5"/>
  <c r="D67" i="5"/>
  <c r="D66" i="5"/>
  <c r="D65" i="5"/>
  <c r="F64" i="5"/>
  <c r="D64" i="5" s="1"/>
  <c r="D62" i="5"/>
  <c r="D59" i="5"/>
  <c r="D58" i="5"/>
  <c r="D57" i="5"/>
  <c r="D56" i="5"/>
  <c r="D55" i="5"/>
  <c r="D54" i="5"/>
  <c r="F53" i="5"/>
  <c r="D53" i="5" s="1"/>
  <c r="D52" i="5"/>
  <c r="D51" i="5"/>
  <c r="F50" i="5"/>
  <c r="D49" i="5"/>
  <c r="D47" i="5"/>
  <c r="D46" i="5"/>
  <c r="D45" i="5"/>
  <c r="D43" i="5"/>
  <c r="D41" i="5"/>
  <c r="F177" i="32" s="1"/>
  <c r="F38" i="5"/>
  <c r="D38" i="5" s="1"/>
  <c r="D37" i="5"/>
  <c r="D36" i="5"/>
  <c r="F35" i="5"/>
  <c r="D35" i="5" s="1"/>
  <c r="D34" i="5"/>
  <c r="D30" i="5"/>
  <c r="F29" i="5"/>
  <c r="D102" i="10"/>
  <c r="D101" i="10"/>
  <c r="D100" i="10"/>
  <c r="F98" i="10"/>
  <c r="E98" i="10"/>
  <c r="D97" i="10"/>
  <c r="D94" i="10"/>
  <c r="D93" i="10"/>
  <c r="D92" i="10"/>
  <c r="D91" i="10"/>
  <c r="D90" i="10"/>
  <c r="F88" i="10"/>
  <c r="F84" i="10" s="1"/>
  <c r="E84" i="10"/>
  <c r="D87" i="10"/>
  <c r="D86" i="10"/>
  <c r="D83" i="10"/>
  <c r="D79" i="10"/>
  <c r="D77" i="10"/>
  <c r="D76" i="10"/>
  <c r="D75" i="10"/>
  <c r="D74" i="10"/>
  <c r="F73" i="10"/>
  <c r="D72" i="10"/>
  <c r="D71" i="10"/>
  <c r="D70" i="10"/>
  <c r="D69" i="10"/>
  <c r="D68" i="10"/>
  <c r="D67" i="10"/>
  <c r="F66" i="10"/>
  <c r="E66" i="10"/>
  <c r="D65" i="10"/>
  <c r="D63" i="10"/>
  <c r="D62" i="10"/>
  <c r="D61" i="10"/>
  <c r="F60" i="10"/>
  <c r="F57" i="10" s="1"/>
  <c r="D58" i="10"/>
  <c r="D54" i="10"/>
  <c r="F26" i="29" s="1"/>
  <c r="D53" i="10"/>
  <c r="D52" i="10"/>
  <c r="D51" i="10"/>
  <c r="D50" i="10"/>
  <c r="F49" i="10"/>
  <c r="E49" i="10"/>
  <c r="E28" i="10" s="1"/>
  <c r="D48" i="10"/>
  <c r="D47" i="10"/>
  <c r="F46" i="10"/>
  <c r="E46" i="10"/>
  <c r="D45" i="10"/>
  <c r="D43" i="10"/>
  <c r="D42" i="10"/>
  <c r="D41" i="10"/>
  <c r="D39" i="10"/>
  <c r="D37" i="10"/>
  <c r="F34" i="10"/>
  <c r="D33" i="10"/>
  <c r="D32" i="10"/>
  <c r="F31" i="10"/>
  <c r="D30" i="10"/>
  <c r="D26" i="10"/>
  <c r="F25" i="10"/>
  <c r="F20" i="10" s="1"/>
  <c r="D24" i="10"/>
  <c r="D23" i="10"/>
  <c r="D22" i="10"/>
  <c r="D111" i="11"/>
  <c r="D110" i="11"/>
  <c r="D109" i="11"/>
  <c r="F107" i="11"/>
  <c r="E107" i="11"/>
  <c r="D106" i="11"/>
  <c r="F120" i="15" s="1"/>
  <c r="F117" i="15"/>
  <c r="D103" i="11"/>
  <c r="F115" i="15" s="1"/>
  <c r="D102" i="11"/>
  <c r="F113" i="15" s="1"/>
  <c r="D101" i="11"/>
  <c r="F111" i="15" s="1"/>
  <c r="D100" i="11"/>
  <c r="F109" i="15" s="1"/>
  <c r="D99" i="11"/>
  <c r="F107" i="15" s="1"/>
  <c r="F97" i="11"/>
  <c r="F93" i="11" s="1"/>
  <c r="E93" i="11"/>
  <c r="D96" i="11"/>
  <c r="D95" i="11"/>
  <c r="F97" i="15" s="1"/>
  <c r="F98" i="15" s="1"/>
  <c r="D92" i="11"/>
  <c r="D90" i="11"/>
  <c r="D88" i="11"/>
  <c r="D86" i="11"/>
  <c r="D85" i="11"/>
  <c r="D84" i="11"/>
  <c r="D83" i="11"/>
  <c r="F82" i="11"/>
  <c r="D81" i="11"/>
  <c r="D80" i="11"/>
  <c r="D79" i="11"/>
  <c r="D78" i="11"/>
  <c r="D77" i="11"/>
  <c r="F64" i="15" s="1"/>
  <c r="D76" i="11"/>
  <c r="F75" i="11"/>
  <c r="E75" i="11"/>
  <c r="D74" i="11"/>
  <c r="D72" i="11"/>
  <c r="D71" i="11"/>
  <c r="D70" i="11"/>
  <c r="F69" i="11"/>
  <c r="F66" i="11" s="1"/>
  <c r="E69" i="11"/>
  <c r="D67" i="11"/>
  <c r="D64" i="11"/>
  <c r="D63" i="11"/>
  <c r="F89" i="15" s="1"/>
  <c r="D62" i="11"/>
  <c r="D61" i="11"/>
  <c r="D60" i="11"/>
  <c r="D59" i="11"/>
  <c r="F50" i="15" s="1"/>
  <c r="F58" i="11"/>
  <c r="E58" i="11"/>
  <c r="D57" i="11"/>
  <c r="F79" i="15" s="1"/>
  <c r="D56" i="11"/>
  <c r="F55" i="11"/>
  <c r="E55" i="11"/>
  <c r="D54" i="11"/>
  <c r="D52" i="11"/>
  <c r="D51" i="11"/>
  <c r="D50" i="11"/>
  <c r="D48" i="11"/>
  <c r="D46" i="11"/>
  <c r="F43" i="11"/>
  <c r="E43" i="11"/>
  <c r="D42" i="11"/>
  <c r="D41" i="11"/>
  <c r="F40" i="11"/>
  <c r="E40" i="11"/>
  <c r="D39" i="11"/>
  <c r="D35" i="11"/>
  <c r="F34" i="11"/>
  <c r="F29" i="11" s="1"/>
  <c r="E34" i="11"/>
  <c r="E29" i="11" s="1"/>
  <c r="D33" i="11"/>
  <c r="D32" i="11"/>
  <c r="D31" i="11"/>
  <c r="F169" i="24" l="1"/>
  <c r="F169" i="32"/>
  <c r="F182" i="24"/>
  <c r="F182" i="32"/>
  <c r="E273" i="24"/>
  <c r="E273" i="32"/>
  <c r="F142" i="24"/>
  <c r="F142" i="32"/>
  <c r="F184" i="24"/>
  <c r="F184" i="32"/>
  <c r="F237" i="24"/>
  <c r="F237" i="32"/>
  <c r="F149" i="24"/>
  <c r="F149" i="32"/>
  <c r="F178" i="24"/>
  <c r="F178" i="32"/>
  <c r="F155" i="24"/>
  <c r="F155" i="32"/>
  <c r="F180" i="24"/>
  <c r="F180" i="32"/>
  <c r="F265" i="24"/>
  <c r="F265" i="32"/>
  <c r="F135" i="24"/>
  <c r="F135" i="32"/>
  <c r="G40" i="6"/>
  <c r="I37" i="6"/>
  <c r="F68" i="5"/>
  <c r="D68" i="5" s="1"/>
  <c r="F177" i="24"/>
  <c r="E37" i="11"/>
  <c r="E64" i="10"/>
  <c r="D69" i="11"/>
  <c r="D107" i="11"/>
  <c r="D34" i="10"/>
  <c r="D49" i="10"/>
  <c r="D50" i="5"/>
  <c r="E73" i="11"/>
  <c r="D60" i="10"/>
  <c r="D98" i="10"/>
  <c r="D29" i="5"/>
  <c r="G107" i="27"/>
  <c r="D116" i="27" s="1"/>
  <c r="B116" i="27"/>
  <c r="B116" i="26"/>
  <c r="G107" i="26"/>
  <c r="D116" i="26" s="1"/>
  <c r="D46" i="10"/>
  <c r="G33" i="15"/>
  <c r="D42" i="15" s="1"/>
  <c r="B42" i="15"/>
  <c r="I29" i="6"/>
  <c r="G29" i="6" s="1"/>
  <c r="D93" i="6"/>
  <c r="D51" i="6"/>
  <c r="F69" i="6"/>
  <c r="D69" i="6" s="1"/>
  <c r="F29" i="6"/>
  <c r="G37" i="6"/>
  <c r="G93" i="6"/>
  <c r="G65" i="6"/>
  <c r="I69" i="6"/>
  <c r="G69" i="6" s="1"/>
  <c r="G51" i="6"/>
  <c r="D70" i="5"/>
  <c r="I68" i="5"/>
  <c r="G68" i="5" s="1"/>
  <c r="G50" i="5"/>
  <c r="F64" i="10"/>
  <c r="D88" i="10"/>
  <c r="D25" i="10"/>
  <c r="D31" i="10"/>
  <c r="D84" i="10"/>
  <c r="F28" i="10"/>
  <c r="D66" i="10"/>
  <c r="D73" i="10"/>
  <c r="D34" i="11"/>
  <c r="D40" i="11"/>
  <c r="D58" i="11"/>
  <c r="D66" i="11"/>
  <c r="F73" i="11"/>
  <c r="F27" i="11" s="1"/>
  <c r="F25" i="11" s="1"/>
  <c r="F37" i="11"/>
  <c r="D75" i="11"/>
  <c r="G35" i="5"/>
  <c r="G64" i="5"/>
  <c r="F32" i="5"/>
  <c r="F27" i="5" s="1"/>
  <c r="D27" i="5" s="1"/>
  <c r="G29" i="5"/>
  <c r="F61" i="5"/>
  <c r="D61" i="5" s="1"/>
  <c r="I32" i="5"/>
  <c r="I28" i="5" s="1"/>
  <c r="G28" i="5" s="1"/>
  <c r="I61" i="5"/>
  <c r="G61" i="5" s="1"/>
  <c r="G92" i="5"/>
  <c r="D55" i="11"/>
  <c r="G88" i="5"/>
  <c r="E20" i="10"/>
  <c r="D28" i="10"/>
  <c r="D57" i="10"/>
  <c r="D93" i="11"/>
  <c r="D43" i="11"/>
  <c r="D97" i="11"/>
  <c r="D29" i="11"/>
  <c r="F186" i="24" l="1"/>
  <c r="F186" i="32"/>
  <c r="F127" i="24"/>
  <c r="F127" i="32"/>
  <c r="F42" i="15"/>
  <c r="I26" i="5"/>
  <c r="G26" i="5" s="1"/>
  <c r="I27" i="5"/>
  <c r="G27" i="5" s="1"/>
  <c r="D32" i="5"/>
  <c r="F28" i="5"/>
  <c r="D64" i="10"/>
  <c r="F18" i="10"/>
  <c r="F16" i="10" s="1"/>
  <c r="D73" i="11"/>
  <c r="D37" i="11"/>
  <c r="F116" i="27"/>
  <c r="J9" i="27" s="1"/>
  <c r="F116" i="26"/>
  <c r="J9" i="26" s="1"/>
  <c r="F27" i="6"/>
  <c r="F25" i="6" s="1"/>
  <c r="D25" i="6" s="1"/>
  <c r="D29" i="6"/>
  <c r="I27" i="6"/>
  <c r="I25" i="6" s="1"/>
  <c r="G25" i="6" s="1"/>
  <c r="E27" i="11"/>
  <c r="G32" i="5"/>
  <c r="E18" i="10"/>
  <c r="D20" i="10"/>
  <c r="I24" i="5" l="1"/>
  <c r="I22" i="5" s="1"/>
  <c r="I20" i="5" s="1"/>
  <c r="G20" i="5" s="1"/>
  <c r="D28" i="5"/>
  <c r="F26" i="5"/>
  <c r="G27" i="6"/>
  <c r="D27" i="6"/>
  <c r="E25" i="11"/>
  <c r="D27" i="11"/>
  <c r="D18" i="10"/>
  <c r="E16" i="10"/>
  <c r="G24" i="5" l="1"/>
  <c r="G22" i="5"/>
  <c r="D26" i="5"/>
  <c r="B119" i="32" s="1"/>
  <c r="F119" i="32" s="1"/>
  <c r="F24" i="5"/>
  <c r="D16" i="10"/>
  <c r="J117" i="10"/>
  <c r="D25" i="11"/>
  <c r="J126" i="11"/>
  <c r="F29" i="9"/>
  <c r="F24" i="9" s="1"/>
  <c r="E29" i="9"/>
  <c r="E24" i="9" s="1"/>
  <c r="D30" i="9"/>
  <c r="F22" i="5" l="1"/>
  <c r="D24" i="5"/>
  <c r="B119" i="24"/>
  <c r="F119" i="24" s="1"/>
  <c r="D29" i="9"/>
  <c r="F53" i="9"/>
  <c r="D56" i="9"/>
  <c r="F20" i="5" l="1"/>
  <c r="D22" i="5"/>
  <c r="D106" i="9"/>
  <c r="D105" i="9"/>
  <c r="D104" i="9"/>
  <c r="F102" i="9"/>
  <c r="E102" i="9"/>
  <c r="D101" i="9"/>
  <c r="F337" i="28" s="1"/>
  <c r="D99" i="9"/>
  <c r="F319" i="28" s="1"/>
  <c r="D98" i="9"/>
  <c r="F315" i="28" s="1"/>
  <c r="D97" i="9"/>
  <c r="F313" i="28" s="1"/>
  <c r="D96" i="9"/>
  <c r="F311" i="28" s="1"/>
  <c r="D95" i="9"/>
  <c r="F309" i="28" s="1"/>
  <c r="D94" i="9"/>
  <c r="F307" i="28" s="1"/>
  <c r="F92" i="9"/>
  <c r="E88" i="9"/>
  <c r="D91" i="9"/>
  <c r="F298" i="28" s="1"/>
  <c r="D90" i="9"/>
  <c r="D87" i="9"/>
  <c r="D85" i="9"/>
  <c r="D83" i="9"/>
  <c r="D81" i="9"/>
  <c r="D80" i="9"/>
  <c r="D79" i="9"/>
  <c r="D78" i="9"/>
  <c r="F77" i="9"/>
  <c r="E77" i="9"/>
  <c r="D73" i="9"/>
  <c r="F175" i="28" s="1"/>
  <c r="D72" i="9"/>
  <c r="F169" i="28" s="1"/>
  <c r="D71" i="9"/>
  <c r="F162" i="28" s="1"/>
  <c r="F70" i="9"/>
  <c r="E70" i="9"/>
  <c r="D69" i="9"/>
  <c r="D66" i="9"/>
  <c r="D65" i="9"/>
  <c r="F147" i="28" s="1"/>
  <c r="F64" i="9"/>
  <c r="F61" i="9" s="1"/>
  <c r="D59" i="9"/>
  <c r="E287" i="28" s="1"/>
  <c r="D58" i="9"/>
  <c r="F279" i="28" s="1"/>
  <c r="D57" i="9"/>
  <c r="D55" i="9"/>
  <c r="D54" i="9"/>
  <c r="D52" i="9"/>
  <c r="F258" i="28" s="1"/>
  <c r="D51" i="9"/>
  <c r="F50" i="9"/>
  <c r="E50" i="9"/>
  <c r="D49" i="9"/>
  <c r="D47" i="9"/>
  <c r="F213" i="28" s="1"/>
  <c r="D46" i="9"/>
  <c r="F211" i="28" s="1"/>
  <c r="D45" i="9"/>
  <c r="F209" i="28" s="1"/>
  <c r="D43" i="9"/>
  <c r="F207" i="28" s="1"/>
  <c r="D41" i="9"/>
  <c r="F206" i="28" s="1"/>
  <c r="F38" i="9"/>
  <c r="E38" i="9"/>
  <c r="D37" i="9"/>
  <c r="D36" i="9"/>
  <c r="F35" i="9"/>
  <c r="E35" i="9"/>
  <c r="D34" i="9"/>
  <c r="F189" i="28" s="1"/>
  <c r="D28" i="9"/>
  <c r="D27" i="9"/>
  <c r="F131" i="28" s="1"/>
  <c r="D26" i="9"/>
  <c r="D19" i="9"/>
  <c r="D18" i="9"/>
  <c r="F16" i="9"/>
  <c r="F11" i="28"/>
  <c r="D24" i="11"/>
  <c r="D23" i="11"/>
  <c r="E21" i="11"/>
  <c r="D20" i="11"/>
  <c r="D19" i="11"/>
  <c r="F17" i="11"/>
  <c r="E17" i="11"/>
  <c r="D16" i="11"/>
  <c r="D15" i="11"/>
  <c r="D14" i="11"/>
  <c r="D19" i="15" s="1"/>
  <c r="D12" i="11"/>
  <c r="D8" i="11"/>
  <c r="E32" i="9" l="1"/>
  <c r="D32" i="9" s="1"/>
  <c r="F215" i="28"/>
  <c r="F11" i="26"/>
  <c r="F84" i="14"/>
  <c r="E10" i="11"/>
  <c r="E9" i="11" s="1"/>
  <c r="F68" i="9"/>
  <c r="E68" i="9"/>
  <c r="D17" i="11"/>
  <c r="D24" i="9"/>
  <c r="D102" i="9"/>
  <c r="D35" i="9"/>
  <c r="F10" i="9"/>
  <c r="D50" i="9"/>
  <c r="D77" i="9"/>
  <c r="D75" i="9"/>
  <c r="D92" i="9"/>
  <c r="D64" i="9"/>
  <c r="B123" i="28" s="1"/>
  <c r="D53" i="9"/>
  <c r="F32" i="9"/>
  <c r="D67" i="9"/>
  <c r="D76" i="9"/>
  <c r="D16" i="9"/>
  <c r="D38" i="9"/>
  <c r="D62" i="9"/>
  <c r="D74" i="9"/>
  <c r="D70" i="9"/>
  <c r="F88" i="9"/>
  <c r="D88" i="9" s="1"/>
  <c r="F21" i="11"/>
  <c r="D13" i="10"/>
  <c r="F12" i="10"/>
  <c r="F10" i="10" s="1"/>
  <c r="F9" i="10" s="1"/>
  <c r="E10" i="10"/>
  <c r="D10" i="10" s="1"/>
  <c r="F123" i="28" l="1"/>
  <c r="E22" i="9"/>
  <c r="E20" i="9" s="1"/>
  <c r="E9" i="9" s="1"/>
  <c r="F12" i="29"/>
  <c r="E9" i="10"/>
  <c r="F22" i="9"/>
  <c r="D68" i="9"/>
  <c r="D21" i="11"/>
  <c r="F10" i="11"/>
  <c r="F9" i="11" s="1"/>
  <c r="D9" i="11" s="1"/>
  <c r="D12" i="10"/>
  <c r="D10" i="11" l="1"/>
  <c r="J121" i="9"/>
  <c r="D22" i="9"/>
  <c r="F20" i="9"/>
  <c r="F9" i="9" s="1"/>
  <c r="D9" i="10" l="1"/>
  <c r="D20" i="9"/>
  <c r="D9" i="9"/>
  <c r="G24" i="6" l="1"/>
  <c r="F84" i="27" s="1"/>
  <c r="G23" i="6"/>
  <c r="F78" i="27" s="1"/>
  <c r="I21" i="6"/>
  <c r="G20" i="6"/>
  <c r="F70" i="27" s="1"/>
  <c r="G19" i="6"/>
  <c r="F64" i="27" s="1"/>
  <c r="I17" i="6"/>
  <c r="G16" i="6"/>
  <c r="F48" i="27" s="1"/>
  <c r="G15" i="6"/>
  <c r="F32" i="27" s="1"/>
  <c r="G14" i="6"/>
  <c r="D40" i="27" s="1"/>
  <c r="G13" i="6"/>
  <c r="F26" i="27" s="1"/>
  <c r="G12" i="6"/>
  <c r="D24" i="6"/>
  <c r="F84" i="26" s="1"/>
  <c r="F21" i="6"/>
  <c r="D23" i="6"/>
  <c r="F78" i="26" s="1"/>
  <c r="F17" i="6"/>
  <c r="D19" i="6"/>
  <c r="F64" i="26" s="1"/>
  <c r="D16" i="6"/>
  <c r="F48" i="26" s="1"/>
  <c r="D15" i="6"/>
  <c r="F32" i="26" s="1"/>
  <c r="D14" i="6"/>
  <c r="D40" i="26" s="1"/>
  <c r="D13" i="6"/>
  <c r="F26" i="26" s="1"/>
  <c r="D12" i="6"/>
  <c r="D8" i="6"/>
  <c r="G19" i="5"/>
  <c r="G18" i="5"/>
  <c r="I16" i="5"/>
  <c r="G12" i="5"/>
  <c r="G8" i="5"/>
  <c r="D19" i="5"/>
  <c r="D18" i="5"/>
  <c r="F16" i="5"/>
  <c r="D12" i="5"/>
  <c r="D8" i="5"/>
  <c r="I9" i="27" l="1"/>
  <c r="H9" i="27"/>
  <c r="H9" i="26"/>
  <c r="D21" i="6"/>
  <c r="G16" i="5"/>
  <c r="G17" i="6"/>
  <c r="F10" i="5"/>
  <c r="F9" i="5" s="1"/>
  <c r="I10" i="5"/>
  <c r="I9" i="5" s="1"/>
  <c r="G21" i="6"/>
  <c r="D16" i="5"/>
  <c r="G8" i="6"/>
  <c r="I10" i="6"/>
  <c r="I9" i="6" s="1"/>
  <c r="D17" i="6"/>
  <c r="F10" i="6"/>
  <c r="F9" i="6" s="1"/>
  <c r="D20" i="6"/>
  <c r="F70" i="26" s="1"/>
  <c r="I9" i="26" s="1"/>
  <c r="K9" i="27" l="1"/>
  <c r="K9" i="26"/>
  <c r="G10" i="6"/>
  <c r="D10" i="6"/>
  <c r="G10" i="5"/>
  <c r="D10" i="5"/>
  <c r="G9" i="6" l="1"/>
  <c r="G9" i="5"/>
  <c r="D9" i="6" l="1"/>
  <c r="D10" i="1" l="1"/>
  <c r="E208" i="5"/>
  <c r="E103" i="17" s="1"/>
  <c r="D103" i="17" s="1"/>
  <c r="D101" i="5"/>
  <c r="F312" i="24" s="1"/>
  <c r="E212" i="5"/>
  <c r="E107" i="17" s="1"/>
  <c r="D107" i="17" s="1"/>
  <c r="D97" i="5"/>
  <c r="F289" i="24" s="1"/>
  <c r="D95" i="5"/>
  <c r="F285" i="24" s="1"/>
  <c r="E206" i="5"/>
  <c r="D206" i="5" s="1"/>
  <c r="D98" i="5"/>
  <c r="F291" i="24" s="1"/>
  <c r="E209" i="5"/>
  <c r="E104" i="17" s="1"/>
  <c r="D104" i="17" s="1"/>
  <c r="D96" i="5"/>
  <c r="F287" i="24" s="1"/>
  <c r="E207" i="5"/>
  <c r="E102" i="17" s="1"/>
  <c r="D102" i="17" s="1"/>
  <c r="E205" i="5"/>
  <c r="E100" i="17" s="1"/>
  <c r="D99" i="5"/>
  <c r="F295" i="24" s="1"/>
  <c r="E210" i="5"/>
  <c r="D210" i="5" s="1"/>
  <c r="D94" i="5"/>
  <c r="F283" i="24" s="1"/>
  <c r="D92" i="5"/>
  <c r="E88" i="5"/>
  <c r="E20" i="5" s="1"/>
  <c r="E105" i="17" l="1"/>
  <c r="D105" i="17" s="1"/>
  <c r="D209" i="5"/>
  <c r="E101" i="17"/>
  <c r="D101" i="17" s="1"/>
  <c r="D207" i="5"/>
  <c r="D208" i="5"/>
  <c r="D205" i="5"/>
  <c r="E203" i="5"/>
  <c r="D203" i="5" s="1"/>
  <c r="D100" i="17"/>
  <c r="D20" i="5"/>
  <c r="E9" i="5"/>
  <c r="D9" i="5" s="1"/>
  <c r="D88" i="5"/>
  <c r="D212" i="5"/>
  <c r="E199" i="5" l="1"/>
  <c r="D199" i="5" s="1"/>
  <c r="E98" i="17"/>
  <c r="D98" i="17" s="1"/>
  <c r="E121" i="5" l="1"/>
  <c r="D121" i="5" s="1"/>
  <c r="E94" i="17"/>
  <c r="D94" i="17" s="1"/>
  <c r="E10" i="17"/>
  <c r="B112" i="28"/>
  <c r="D112" i="28"/>
  <c r="F112" i="28"/>
  <c r="D10" i="17" l="1"/>
  <c r="E9" i="17"/>
  <c r="D9" i="17" s="1"/>
  <c r="L121" i="5"/>
  <c r="M121" i="5" s="1"/>
  <c r="E41" i="32" l="1"/>
  <c r="E41" i="24"/>
  <c r="E41" i="28"/>
</calcChain>
</file>

<file path=xl/sharedStrings.xml><?xml version="1.0" encoding="utf-8"?>
<sst xmlns="http://schemas.openxmlformats.org/spreadsheetml/2006/main" count="4671" uniqueCount="498">
  <si>
    <t>Наименование показателя</t>
  </si>
  <si>
    <t>Всего</t>
  </si>
  <si>
    <t>в том числе</t>
  </si>
  <si>
    <t>по лицевым счетам, открытым в органах, осуществляющих ведение лицевых счетов учреждений</t>
  </si>
  <si>
    <t>операции по счетам, открытым в кредитных организациях</t>
  </si>
  <si>
    <t>X</t>
  </si>
  <si>
    <t>в том числе:</t>
  </si>
  <si>
    <t>Выплаты, всего:</t>
  </si>
  <si>
    <t>Расходы, всего</t>
  </si>
  <si>
    <t>из них:</t>
  </si>
  <si>
    <t>Оплата труда и начисления на выплаты по оплате труда, всего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</si>
  <si>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</si>
  <si>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</si>
  <si>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</si>
  <si>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</si>
  <si>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</si>
  <si>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услуги, всего</t>
  </si>
  <si>
    <t>Коммунальные услуги</t>
  </si>
  <si>
    <t>Оплата отопления и технологических нужд</t>
  </si>
  <si>
    <t>Оплата потребления газа</t>
  </si>
  <si>
    <t>Оплата потребления электрической энергии</t>
  </si>
  <si>
    <t>Оплата водоснабжения и водоотведения помещений</t>
  </si>
  <si>
    <t>Оплата твердых коммунальных отходов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</si>
  <si>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</si>
  <si>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</si>
  <si>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Страхование</t>
  </si>
  <si>
    <t>Социальное обеспечение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</si>
  <si>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</si>
  <si>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</si>
  <si>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</si>
  <si>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</si>
  <si>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</si>
  <si>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</si>
  <si>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нарушений условий контрактов (договоров)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</si>
  <si>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</si>
  <si>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</si>
  <si>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</si>
  <si>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</si>
  <si>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</si>
  <si>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</si>
  <si>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</si>
  <si>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</si>
  <si>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</si>
  <si>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</si>
  <si>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«___» __________ 20___ г.</t>
  </si>
  <si>
    <t>Код бюджетной классификации Российской Федерации</t>
  </si>
  <si>
    <t>Аналитический код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</si>
  <si>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</si>
  <si>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</si>
  <si>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</si>
  <si>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Прочие поступления, всего</t>
  </si>
  <si>
    <t>(рублей)</t>
  </si>
  <si>
    <t xml:space="preserve">Руководитель учреждения            </t>
  </si>
  <si>
    <t xml:space="preserve">(подпись)  </t>
  </si>
  <si>
    <t>(расшифровка подписи)</t>
  </si>
  <si>
    <t xml:space="preserve">Главный бухгалтер учреждения       </t>
  </si>
  <si>
    <t xml:space="preserve">Исполнитель                          </t>
  </si>
  <si>
    <t xml:space="preserve">тел. </t>
  </si>
  <si>
    <t>Прочие работы, услуги</t>
  </si>
  <si>
    <t>Поступление нефинансовых активов, всего</t>
  </si>
  <si>
    <t>Увеличение стоимости материальных запасов, всего</t>
  </si>
  <si>
    <t>Доходы от операций с активами, всего</t>
  </si>
  <si>
    <t>Прочие доходы</t>
  </si>
  <si>
    <t>Безвомездные денежные поступления</t>
  </si>
  <si>
    <t>Доходы от штрафов, пеней, иных сумм принудительного изъятия</t>
  </si>
  <si>
    <t>Доходы от оказания услуг, работ, компенсации затрат учреждений</t>
  </si>
  <si>
    <t>Доходы от собственности</t>
  </si>
  <si>
    <t>Выплаты, уменьшающие доход, всего</t>
  </si>
  <si>
    <t>Увеличение стоимости нематериальных активов</t>
  </si>
  <si>
    <t>Субсидии на финансовое обеспечение выполнения государственного задания</t>
  </si>
  <si>
    <t>Увеличение остатков денежных средств за счет возврата дебиторской задолженности прошлых лет</t>
  </si>
  <si>
    <t>От выбытия основных средств</t>
  </si>
  <si>
    <t>От выбытия материальных запасов</t>
  </si>
  <si>
    <t>20___ г.</t>
  </si>
  <si>
    <t>(за счет приносящей доход деятельности) на плановый период 20___ и 20___ годов</t>
  </si>
  <si>
    <t>(за счет целевых субсидий) на плановый период 20___ и 20___ годов</t>
  </si>
  <si>
    <t>Должность по штатному расписанию, единиц</t>
  </si>
  <si>
    <t>Численность, единиц</t>
  </si>
  <si>
    <t>Среднемесячный размер оплаты труда на одного работника, руб.</t>
  </si>
  <si>
    <t>Фонд оплаты труда в год              (гр.2 х гр.3 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</si>
  <si>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</si>
  <si>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</si>
  <si>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</si>
  <si>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</si>
  <si>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Штатная численность, единиц</t>
  </si>
  <si>
    <t>Начисления на выплаты по оплате труда, руб. (213)</t>
  </si>
  <si>
    <t>Наименование</t>
  </si>
  <si>
    <t>Количество работников, чел.</t>
  </si>
  <si>
    <t>Средний размер выплаты на одного работника в день, руб.</t>
  </si>
  <si>
    <t>Количество дней</t>
  </si>
  <si>
    <t>Сумма, руб. (гр.2 х гр.3 х гр.4)</t>
  </si>
  <si>
    <t>Суточные</t>
  </si>
  <si>
    <t>Количество услуг перевозки, шт.</t>
  </si>
  <si>
    <t>Цена услуги перевозки, руб.</t>
  </si>
  <si>
    <t>Сумма, руб. (гр.2 х гр.3)</t>
  </si>
  <si>
    <t>Служебные командировки</t>
  </si>
  <si>
    <t>Количество участников, чел.</t>
  </si>
  <si>
    <t>Средний размер выплаты на одного участника в день, руб.</t>
  </si>
  <si>
    <t>Суточные, денежные средства спортсменам на мероприятиях</t>
  </si>
  <si>
    <t>Численность работников, получающий пособие</t>
  </si>
  <si>
    <t>Средний размер выплат в год на одного работника</t>
  </si>
  <si>
    <t xml:space="preserve">Сумма, руб. (гр.2 х гр.3) </t>
  </si>
  <si>
    <t>Пособие за первые три дня временной нетрудоспособности</t>
  </si>
  <si>
    <t>Количество выплат в год на одного работника</t>
  </si>
  <si>
    <t>Размер выплаты (пособия) в месяц, руб.</t>
  </si>
  <si>
    <t>Пособие по уходу за ребенком</t>
  </si>
  <si>
    <t>Размер одной выплаты, руб.</t>
  </si>
  <si>
    <t xml:space="preserve">Количество выплат в год </t>
  </si>
  <si>
    <t>Общая сумма выплат, руб. (гр.2 х гр.3)</t>
  </si>
  <si>
    <t>Налоговая база, руб.</t>
  </si>
  <si>
    <t>Ставка налога, %</t>
  </si>
  <si>
    <t>Сумма исчисленного налога, подлежащего уплате, руб.                          (гр. 2 х гр.3/100)</t>
  </si>
  <si>
    <t>Уплата налога на имущество</t>
  </si>
  <si>
    <t>Уплата налога на землю</t>
  </si>
  <si>
    <t>Код вида расходов 852</t>
  </si>
  <si>
    <t xml:space="preserve">Сумма, руб.                          </t>
  </si>
  <si>
    <t>Транспортный налог</t>
  </si>
  <si>
    <t>Х</t>
  </si>
  <si>
    <t>…</t>
  </si>
  <si>
    <t>Код вида расходов 853</t>
  </si>
  <si>
    <t>….</t>
  </si>
  <si>
    <t>Количество номеров</t>
  </si>
  <si>
    <t>Средняя стоимость за единицу в месяц, руб.</t>
  </si>
  <si>
    <t>Телефонная связь</t>
  </si>
  <si>
    <t>Почтовая связь</t>
  </si>
  <si>
    <t>Количество услуг перевозки</t>
  </si>
  <si>
    <t>Размер потребления ресурсов</t>
  </si>
  <si>
    <t>Тариф (с учетом НДС), руб.</t>
  </si>
  <si>
    <t>Количество (кв.м.)</t>
  </si>
  <si>
    <t>Стоимость у учетом НДС, руб.</t>
  </si>
  <si>
    <t>Аренда помещений</t>
  </si>
  <si>
    <t>Количество работ (услуг)</t>
  </si>
  <si>
    <t>Стоимость работ (услуг), руб.</t>
  </si>
  <si>
    <t>Техническое обслуживание и ремонт оргтехники</t>
  </si>
  <si>
    <t>Вывоз ТБО</t>
  </si>
  <si>
    <t>Заправка картриджей</t>
  </si>
  <si>
    <t>Техническое обслуживание транспортных средств</t>
  </si>
  <si>
    <t>Количество договоров</t>
  </si>
  <si>
    <t>Стоимость услуги, руб.</t>
  </si>
  <si>
    <t>Сопровождение программного обеспечения</t>
  </si>
  <si>
    <t>Услуги охраны</t>
  </si>
  <si>
    <t>Периодические издания</t>
  </si>
  <si>
    <t>Количество</t>
  </si>
  <si>
    <t>Средняя стоимость, руб.</t>
  </si>
  <si>
    <t>Объекты основных средств</t>
  </si>
  <si>
    <t xml:space="preserve">Код вида расходов </t>
  </si>
  <si>
    <t>Итого</t>
  </si>
  <si>
    <t>Код вида расходов</t>
  </si>
  <si>
    <t>Стоимость 1 кв.м.</t>
  </si>
  <si>
    <t>Сумма, руб.(гр. 2 х гр. 3)</t>
  </si>
  <si>
    <t>Сумма, руб. (гр. 2 х гр. 3)</t>
  </si>
  <si>
    <t xml:space="preserve">Руководитель учреждения          </t>
  </si>
  <si>
    <t xml:space="preserve">Главный бухгалтер учреждения      </t>
  </si>
  <si>
    <t xml:space="preserve">Исполнитель                         </t>
  </si>
  <si>
    <t>тел.</t>
  </si>
  <si>
    <t>Плата за загрязнение окружающей среды</t>
  </si>
  <si>
    <t>…..</t>
  </si>
  <si>
    <t>Взносы по оплате медицинских осмотров</t>
  </si>
  <si>
    <t>Другие экономические санкции</t>
  </si>
  <si>
    <t>Молоко</t>
  </si>
  <si>
    <t>Численность работников, получающий продукт в натуральной форме</t>
  </si>
  <si>
    <t>Сумма, руб. (гр.2 х гр.3*кол-во месяцев получающих продукт)</t>
  </si>
  <si>
    <t>Услуги и работы в рамках проведения капиатального ремонта</t>
  </si>
  <si>
    <t>Услуги и работы в рамках проведения капитального ремонта</t>
  </si>
  <si>
    <t>Доходы от оказания услуг (выполнения работ)</t>
  </si>
  <si>
    <t>Сумма, руб.</t>
  </si>
  <si>
    <t>Плата (тариф) арендной платы за единицу площади (объект), руб</t>
  </si>
  <si>
    <t>Планируемый объем предоставления имущества в аренду (в натуральных показателях)</t>
  </si>
  <si>
    <t>1.1. Расчет доходов от собственности</t>
  </si>
  <si>
    <t>Недвижимое имущество</t>
  </si>
  <si>
    <t>Субсидии на финансове обеспечение выполнения государственного задания</t>
  </si>
  <si>
    <t xml:space="preserve">Сумма соглашения, руб. </t>
  </si>
  <si>
    <t>Планируемый объем оказания услуг (работ)</t>
  </si>
  <si>
    <t>Плата (тариф) за  единицу услуги (работы), руб.</t>
  </si>
  <si>
    <t>1.2. Расчет доходов от плановых поступлений от оказания услуг (выполнения работ) (в том числе в виде субсидии на финансове обеспечение выполнения государственного задания)</t>
  </si>
  <si>
    <t>Штрафы…</t>
  </si>
  <si>
    <t>1.3. Расчет доходов в виде штрафов, возмещения ущерба</t>
  </si>
  <si>
    <t>1.4. Расчет доходов от безвозмездных денежных поступлений</t>
  </si>
  <si>
    <t>1.6. Расчет доходов от операций с активами</t>
  </si>
  <si>
    <t>Реализация неиспользуемого имущества</t>
  </si>
  <si>
    <t>2.2. Обоснования (расчеты) выплат персоналу (строка 213)</t>
  </si>
  <si>
    <t>1. Обоснования (расчеты) доходов к плану финансово-хозяйственной деятельности (……………….) на 20___ год</t>
  </si>
  <si>
    <t>Плата (тариф) за  единицу, руб.</t>
  </si>
  <si>
    <t xml:space="preserve">Размер прогнозируемых поступлений, руб. </t>
  </si>
  <si>
    <t>Целевые субсидии</t>
  </si>
  <si>
    <t>Заработная плата, руб. (211,266)</t>
  </si>
  <si>
    <t>Сумма, руб. (гр.2 х гр.3х12)</t>
  </si>
  <si>
    <t>1.5. Расчет доходов в виде целевых субсидий</t>
  </si>
  <si>
    <t>2. Обоснования (расчеты) расходов к плану финансово-хозяйственной деятельности (………………...) на 20___ год</t>
  </si>
  <si>
    <t>2.1. Обоснования (расчеты) выплат персоналу (строка 211, 266)</t>
  </si>
  <si>
    <t>II. Поступления и выплаты</t>
  </si>
  <si>
    <t>III. Поступления и выплаты</t>
  </si>
  <si>
    <t>I. Сведения по выплатам на закупки товаров, работ, услуг</t>
  </si>
  <si>
    <t>I. Поступления и выплаты</t>
  </si>
  <si>
    <t>Налог на прибыль</t>
  </si>
  <si>
    <t>Налог на добавленную стоимость</t>
  </si>
  <si>
    <t>Прочие налоги, уменьшающие доход</t>
  </si>
  <si>
    <t>Сумма выплат по расходам на закупку товаров, работ и услуг</t>
  </si>
  <si>
    <t>в соответствии с Федеральным законом от 5 апреля 2013 г. № 44-ФЗ «О контрактной системе в сфере закупок товаров,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</si>
  <si>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</si>
  <si>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На оплату контрактов заключенных до начала финансового года</t>
  </si>
  <si>
    <t>Прочие несоциальные выплаты персоналу в натуральной форме</t>
  </si>
  <si>
    <t>На оплату контрактов заключенных по году начало закупки</t>
  </si>
  <si>
    <t>2.3. Обоснования (расчеты) расходов на прочие несоциальные выплату персонала в денежной форме (строка 212)</t>
  </si>
  <si>
    <t>2.5. Обоснования (расчеты) выплат персоналу при использовании личного транспорта для служебных целей (строка 222)</t>
  </si>
  <si>
    <t>2.6. Обоснования (расчеты) выплат персоналу при направлении в служебные командировки (строка 226)</t>
  </si>
  <si>
    <t>2.7. Обоснования (расчеты) выплат персоналу при направлении учащихся организации на мероприятия, и иные платежи (строка 226)</t>
  </si>
  <si>
    <t>2.8. Обоснования (расчеты) выплат персоналу по уходу за ребенком и выплат по временной нетрудоспособности работников (строка 266,267)</t>
  </si>
  <si>
    <t>2.9. Обоснования (расчеты) расходов на социальные и иные выплаты населения (строка 264)</t>
  </si>
  <si>
    <t>2.11. Обоснования (расчеты) расходов на иные выплаты текущего характера физическим лицам (строка 296)</t>
  </si>
  <si>
    <t>340</t>
  </si>
  <si>
    <t>350</t>
  </si>
  <si>
    <t>360</t>
  </si>
  <si>
    <t>2.12. Обоснования (расчеты) расходов на уплату штрафов за нарушение законодательства и иные выплаты, экономические санкции (строка 292,293,295,296,297)</t>
  </si>
  <si>
    <t>2.13 Обоснования (расчеты) расходов по выплатам на закупку товаров, работ, услуг</t>
  </si>
  <si>
    <t>2.13.1. Обоснования (расчеты) расходов на прочие несоциальные выплаты персоналу в натуральной форме (строка 214)</t>
  </si>
  <si>
    <t>2.13.2. Обоснования (расчеты) расходов на оплату услуг связи (строка 221)</t>
  </si>
  <si>
    <t>2.13.3. Обоснования (расчеты) расходов на оплату транспортных услуг (строка 222)</t>
  </si>
  <si>
    <t>2.13.4. Обоснования (расчеты) расходов на оплату коммунальных услуг (строка 223)</t>
  </si>
  <si>
    <t>2.13.5. Обоснования (расчеты) расходов на оплату аренды имущества (строка 224)</t>
  </si>
  <si>
    <t>2.13.6. Обоснования (расчеты) расходов на оплату работ, услуг по содержанию имущества (строка 225)</t>
  </si>
  <si>
    <t>2.13.7. Обоснования (расчеты) расходов на оплату прочих работ, услуг (строка 226)</t>
  </si>
  <si>
    <t>2.13.8. Обоснования (расчеты) расходов на оплату страхования (строка 227)</t>
  </si>
  <si>
    <t>2.13.9. Обоснования (расчеты) расходов на уплату штрафов за нарушение законодательства и иные выплаты текущего характера (строка 296,297)</t>
  </si>
  <si>
    <t>2.13.10. Обоснования (расчеты) расходов на приобретение основных средств  (строки 310)</t>
  </si>
  <si>
    <t>2.13.11. Обоснования (расчеты) расходов на приобретение  материальных запасов (строки 340)</t>
  </si>
  <si>
    <t>2.10. Обоснования (расчеты) расходов на уплату налогов, пошлин и сборов (строка 291)</t>
  </si>
  <si>
    <t>2.4. Обоснования (расчеты) расходов на прочие несоциальные выплату персонала в натуральной форме (строка 214)</t>
  </si>
  <si>
    <t>Количество, единиц</t>
  </si>
  <si>
    <t>Стоимость за единицу, рублей</t>
  </si>
  <si>
    <t>210+290 не в закупках</t>
  </si>
  <si>
    <t>отклонение</t>
  </si>
  <si>
    <t>выплаты всего - отклонение</t>
  </si>
  <si>
    <t>2021 год</t>
  </si>
  <si>
    <t>2022 год</t>
  </si>
  <si>
    <t>Приносящая доход деятельности</t>
  </si>
  <si>
    <t>Приносящая доход деятельность</t>
  </si>
  <si>
    <t>Итого 341</t>
  </si>
  <si>
    <t>Итого 342</t>
  </si>
  <si>
    <t>Итого 343</t>
  </si>
  <si>
    <t>Итого 344</t>
  </si>
  <si>
    <t>Итого 345</t>
  </si>
  <si>
    <t>Итого 346</t>
  </si>
  <si>
    <t>Итого 349</t>
  </si>
  <si>
    <t>Фонд оплаты труда, руб. (211,213,266)</t>
  </si>
  <si>
    <t>Итого 292</t>
  </si>
  <si>
    <t>Итого 293</t>
  </si>
  <si>
    <t>Итого 295</t>
  </si>
  <si>
    <t>Итого 296</t>
  </si>
  <si>
    <t>Итого 297</t>
  </si>
  <si>
    <t>2.13.11. Обоснования (расчеты) расходов на приобретение нематериальных активов  (строки 320)</t>
  </si>
  <si>
    <t>2.13.12. Обоснования (расчеты) расходов на приобретение  материальных запасов (строки 340)</t>
  </si>
  <si>
    <t>ОСТАТОК на начало</t>
  </si>
  <si>
    <t>Контроль</t>
  </si>
  <si>
    <t>1.7. Расчет доходов от прочих поступлений</t>
  </si>
  <si>
    <t>Код вида доходов</t>
  </si>
  <si>
    <t>Обоснования (расчеты) доходов и расходов к плану финансово-хозяйственной деятельности (……………….) на 20___ год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</si>
  <si>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20___ год</t>
  </si>
  <si>
    <t>расходы</t>
  </si>
  <si>
    <t>Доходы</t>
  </si>
  <si>
    <t>1.8. Расчет выплат уменьшающих доход</t>
  </si>
  <si>
    <t>IV. Сведения по выплатам на закупки товаров, работ, услуг</t>
  </si>
  <si>
    <t>V. Сведения по выплатам на закупки товаров, работ, услуг</t>
  </si>
  <si>
    <t>VI. Сведения по выплатам на закупки товаров, работ, услуг</t>
  </si>
  <si>
    <t>VII. Поступления и выплаты</t>
  </si>
  <si>
    <t>VIII. Поступления и выплаты</t>
  </si>
  <si>
    <t>IX. Поступления и выплаты</t>
  </si>
  <si>
    <t>X. Сведения по выплатам на закупки товаров, работ, услуг</t>
  </si>
  <si>
    <t>XI. Сведения по выплатам на закупки товаров, работ, услуг</t>
  </si>
  <si>
    <t>XII. Сведения по выплатам на закупки товаров, работ, услуг</t>
  </si>
  <si>
    <t xml:space="preserve">Сумма по соглашению, руб. </t>
  </si>
  <si>
    <t>Безвозмездные денежные поступления текущего характера</t>
  </si>
  <si>
    <t>Прочие поступления</t>
  </si>
  <si>
    <t>Увеличение остатков денежных средств за счет возмещения средств от фонда социального страхования прошлых лет</t>
  </si>
  <si>
    <t>800Мбит/сек</t>
  </si>
  <si>
    <t>техническое обслуживание системы видеонаблюдения</t>
  </si>
  <si>
    <t>техническое обслуживание котельной</t>
  </si>
  <si>
    <t>техническое обслуживание системы кондиционирования</t>
  </si>
  <si>
    <t>дератизация</t>
  </si>
  <si>
    <t>техническое обслуживание пожарной сигнаизации</t>
  </si>
  <si>
    <t>техническое обслуживание газоиспользующего оборудования</t>
  </si>
  <si>
    <t>техническое обслуживание "Стрелец"</t>
  </si>
  <si>
    <t>техническое обслуживание ГРЩ</t>
  </si>
  <si>
    <t>техническое обслуживание системы автоматического пожаротушения</t>
  </si>
  <si>
    <t>Ежедневный предрейсовый технический осмотр автомобиля</t>
  </si>
  <si>
    <t>техническое обслуживание поломойно-всасывающей машины</t>
  </si>
  <si>
    <t>уборка прилегающей территории</t>
  </si>
  <si>
    <t>уход за зелеными насаждениями</t>
  </si>
  <si>
    <t>испытание средств защиты</t>
  </si>
  <si>
    <t>услуги по мытью наружных и внутренних окон и витражей</t>
  </si>
  <si>
    <t>ремонт оборудования</t>
  </si>
  <si>
    <t>техничское обслуживание ИБП</t>
  </si>
  <si>
    <t>ктс</t>
  </si>
  <si>
    <t>украшение залов композициями из живых цветов</t>
  </si>
  <si>
    <t>ежедневный предрейсовый медицинский осмотр водителя</t>
  </si>
  <si>
    <t>обучение</t>
  </si>
  <si>
    <t>гсм</t>
  </si>
  <si>
    <t>строительные материалы</t>
  </si>
  <si>
    <t>форменная одежда</t>
  </si>
  <si>
    <t>спецодежда</t>
  </si>
  <si>
    <t>мягкий инвентарь</t>
  </si>
  <si>
    <t>канцелярские товары</t>
  </si>
  <si>
    <t>хозяйственные товары</t>
  </si>
  <si>
    <t>изготовление полиграфической продукции</t>
  </si>
  <si>
    <t>печать сборников</t>
  </si>
  <si>
    <t>комплектующие и запасные части для оборудования</t>
  </si>
  <si>
    <t>Директор</t>
  </si>
  <si>
    <t>Заместитель директора - заведующий общим отделом</t>
  </si>
  <si>
    <t>Заместитель директора - заведующий отделом научно-просветительной, образовательной и экскурсионной деятельности</t>
  </si>
  <si>
    <t>Главный бухгалтер</t>
  </si>
  <si>
    <t>Главный юрисконсульт</t>
  </si>
  <si>
    <t>Ведущий специалист по связям с общественностью</t>
  </si>
  <si>
    <t>Итого:</t>
  </si>
  <si>
    <t>Отдел бухгалтерского учета и отчетности</t>
  </si>
  <si>
    <t>Заместитель главного бухгалтера</t>
  </si>
  <si>
    <t>Общий отдел</t>
  </si>
  <si>
    <t>Старший администратор</t>
  </si>
  <si>
    <t>Музейный смотритель</t>
  </si>
  <si>
    <t>Отдел научно-просветительной, образовательной и экскурсионной деятельности</t>
  </si>
  <si>
    <t>Методист по научно-просветительной и образовательной деятельности</t>
  </si>
  <si>
    <t>Научный сотрудник</t>
  </si>
  <si>
    <t>Организатор экскурсий</t>
  </si>
  <si>
    <t>Экскурсовод</t>
  </si>
  <si>
    <t>Отдел информатизации и мультимедийного обеспечения</t>
  </si>
  <si>
    <t>Инженер по свету и звуку</t>
  </si>
  <si>
    <t>Системный администратор</t>
  </si>
  <si>
    <t>Хозяйственно-технический отдел</t>
  </si>
  <si>
    <t>Слесарь-сантехник</t>
  </si>
  <si>
    <t>Уборщик служебных помещений</t>
  </si>
  <si>
    <t>Рабочий по обслуживанию и текущему ремонту здания</t>
  </si>
  <si>
    <t>Водитель</t>
  </si>
  <si>
    <t>ВСЕГО:</t>
  </si>
  <si>
    <t>Кассир</t>
  </si>
  <si>
    <t>Методист по научно-просветительной деятельности</t>
  </si>
  <si>
    <t>Графический дизайнер</t>
  </si>
  <si>
    <t>Специалист по охране труда</t>
  </si>
  <si>
    <t>Слесарь-электрик по ремонту электрооборудования</t>
  </si>
  <si>
    <t>Начальник хозяйственно-технического отдела</t>
  </si>
  <si>
    <t xml:space="preserve">Главный инженер </t>
  </si>
  <si>
    <t>Делопроизводитель</t>
  </si>
  <si>
    <t>Главный специалист по персоналу</t>
  </si>
  <si>
    <t>Е.В. Никулина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</si>
  <si>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2022 год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</si>
  <si>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2022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</si>
  <si>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2022 год</t>
  </si>
  <si>
    <t>итого</t>
  </si>
  <si>
    <t>Услуги, работы для целей капитальных вложений</t>
  </si>
  <si>
    <t>Увеличение стоимости материальных запасов для целей капитальных вложений</t>
  </si>
  <si>
    <t>Канцелярские товары</t>
  </si>
  <si>
    <t>техническое обслуживание фонтана</t>
  </si>
  <si>
    <t>техническое обслуживание системы автополива</t>
  </si>
  <si>
    <t>Приобретение программного обеспечения</t>
  </si>
  <si>
    <t>обработка архива</t>
  </si>
  <si>
    <t>ИТС билетно-пропускной системы "Лента"</t>
  </si>
  <si>
    <t>100</t>
  </si>
  <si>
    <t>Ведущий юрисконсульт</t>
  </si>
  <si>
    <t>Ведущий бухгалтер</t>
  </si>
  <si>
    <t>Филиал</t>
  </si>
  <si>
    <t>Заведующий филиалом</t>
  </si>
  <si>
    <t>Заведующий отделом</t>
  </si>
  <si>
    <t>Ведущий экономист</t>
  </si>
  <si>
    <t>Отдел правовой и кадровой работы</t>
  </si>
  <si>
    <t>Ведущий специалист по персоналу</t>
  </si>
  <si>
    <t>Методист по образовательной деятельности</t>
  </si>
  <si>
    <t>Специалист по экспозиционной и выставочной деятельности</t>
  </si>
  <si>
    <t>Фотограф</t>
  </si>
  <si>
    <t>ВСЕГО ФИЛИАЛ:</t>
  </si>
  <si>
    <t>Итого по учреждению:</t>
  </si>
  <si>
    <t>Администратор стойки информации</t>
  </si>
  <si>
    <t>Штрафы за ненадлежащее исполнение контракта</t>
  </si>
  <si>
    <t>Приобретение основных средств для осуществления основных видов деятельности музеев</t>
  </si>
  <si>
    <t>Итого 347</t>
  </si>
  <si>
    <t>111, 119</t>
  </si>
  <si>
    <t>Телефонная связь г. Ставрополь</t>
  </si>
  <si>
    <t>Телефонная связь г. Пятигорск</t>
  </si>
  <si>
    <t>Интернет г. Ставрополь</t>
  </si>
  <si>
    <t>Интернет г. Пятигорск</t>
  </si>
  <si>
    <t>Оплата потребления электрической энергии г. Ставрополь</t>
  </si>
  <si>
    <t>Оплата потребления электрической энергии г. Пятигорск</t>
  </si>
  <si>
    <t>2 624 476,68645квт/ч</t>
  </si>
  <si>
    <t>Оплата водоснабжения и водоотведения помещений г. Ставрополь</t>
  </si>
  <si>
    <t>Оплата водоснабжения и водоотведения помещений г. Пятигорск</t>
  </si>
  <si>
    <t>Оплата твердых коммунальных отходов г. Ставрополь</t>
  </si>
  <si>
    <t>Оплата твердых коммунальных отходов г. Пятигорск</t>
  </si>
  <si>
    <t>г. Ставрополь</t>
  </si>
  <si>
    <t>г. Пятигорск</t>
  </si>
  <si>
    <t>техническое обслуживание КНС</t>
  </si>
  <si>
    <t>техническое обслуживание видеопроекторов</t>
  </si>
  <si>
    <t>услуги по уборка туалета-лектория</t>
  </si>
  <si>
    <t>получение выписок из ЕГРН</t>
  </si>
  <si>
    <t>Монтаж/демонтаж новогодних украшений</t>
  </si>
  <si>
    <t>бланки строгой отчетности (билеты)</t>
  </si>
  <si>
    <t>2023 г.</t>
  </si>
  <si>
    <t>Оплата потребления газа г. Ставрополь</t>
  </si>
  <si>
    <t>Оплата потребления газа г. Пятигорск</t>
  </si>
  <si>
    <t>150,31039м3</t>
  </si>
  <si>
    <t>2 624 510,3333квт/ч</t>
  </si>
  <si>
    <t>2 345,9723м3</t>
  </si>
  <si>
    <t>148,04847м3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</si>
  <si>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2023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</si>
  <si>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2023 год</t>
  </si>
  <si>
    <t xml:space="preserve">Техническое обслуживание котельной </t>
  </si>
  <si>
    <t>Техническое обслуживание автоматической охранной сигнализации, СКУД и пожарно-охранной сигнализации котельной</t>
  </si>
  <si>
    <t>Техническое ослуживание систем автоматической пожарной сигнализации, оповещения о пожаре, дымоудаления</t>
  </si>
  <si>
    <t>Техническое обслуживание системы автоматического водяного пожаротушения</t>
  </si>
  <si>
    <t>Техническое обслуживание системы видеонаблюдения</t>
  </si>
  <si>
    <t>Техническое обслуживание системы вентиляции и кондиционирования</t>
  </si>
  <si>
    <t>Техническое обслуживание ГРЩ</t>
  </si>
  <si>
    <t>Техническое обслуживание ВДПО "Стрелец"</t>
  </si>
  <si>
    <t>Техническое обслуживание ПУРГ</t>
  </si>
  <si>
    <t>Дератизация</t>
  </si>
  <si>
    <t>уход за газонами и зелеными насаждениями</t>
  </si>
  <si>
    <t>мойка фасада здания</t>
  </si>
  <si>
    <t>ТО устройств мультимедиа</t>
  </si>
  <si>
    <t>Испытание средств защиты</t>
  </si>
  <si>
    <t>доступ к системе Эконом-эксперт</t>
  </si>
  <si>
    <t>Спецоценка условий труда</t>
  </si>
  <si>
    <t>Кнопка тревожной сигнализации (ТО)</t>
  </si>
  <si>
    <t>Монтаж / демонтаж новогодних украшений</t>
  </si>
  <si>
    <t>721,593985м3</t>
  </si>
  <si>
    <t>Товары для творчества</t>
  </si>
  <si>
    <t xml:space="preserve">Полиграфическая продукция </t>
  </si>
  <si>
    <t>Таблички для конференций на стол</t>
  </si>
  <si>
    <t>Баннеры (внутренни и фасадные)</t>
  </si>
  <si>
    <t>Визитки</t>
  </si>
  <si>
    <t>Дезсредства</t>
  </si>
  <si>
    <t>61917,58954м3</t>
  </si>
  <si>
    <t>Почтовая связь г. Пятигорск</t>
  </si>
  <si>
    <t>355252,3161м3</t>
  </si>
  <si>
    <t>9284,564653квт/ч</t>
  </si>
  <si>
    <t>61917,73149м3</t>
  </si>
  <si>
    <t>Почтовая связь г. Ставрополь</t>
  </si>
  <si>
    <t>Оплата потребления газа г.Ставрополь</t>
  </si>
  <si>
    <t>Оплата потребления газа г.Пятигорск</t>
  </si>
  <si>
    <t>Техническое обслуживание поломоечной машины</t>
  </si>
  <si>
    <t>Техническое обслуживание интерактивного светодиодного пола</t>
  </si>
  <si>
    <t>Техническое обслуживание устройств мультимедиа</t>
  </si>
  <si>
    <t>Хозяйственные товары</t>
  </si>
  <si>
    <t>Техническое обслуживание проекторов</t>
  </si>
  <si>
    <t>Приобретение программного обеспечения (Антивирус Касперский, Photoshop, Illustrator, InDesign, Premiere Pro и Acrobat)</t>
  </si>
  <si>
    <t>244, 247</t>
  </si>
  <si>
    <t>Баннеры (внутренние и фасадные)</t>
  </si>
  <si>
    <t>Первый заместитель директора - заведующий отделом информатизации и мультимедийного обеспечения</t>
  </si>
  <si>
    <t>355,0684932м3</t>
  </si>
  <si>
    <t>Пособия по социальной помощи, выплачиваемые работодателями, нанимателями бывшим работникам в натуральной форме</t>
  </si>
  <si>
    <t>2.9. Обоснования (расчеты) расходов на социальные и иные выплаты населения (строка 264,265)</t>
  </si>
  <si>
    <t>Иные коммунальные  услуги</t>
  </si>
  <si>
    <t>мойка и чистка (химчистка) автомобиля Skoda Oktavia</t>
  </si>
  <si>
    <t>Мероприятия по сохранению и развитию культуры</t>
  </si>
  <si>
    <t xml:space="preserve"> Обоснования (расчеты) доходов и расходов к плану финансово-хозяйственной деятельности (за счет целевых субсидий) на 2021 год</t>
  </si>
  <si>
    <t>1. Обоснования (расчеты) доходов к плану финансово-хозяйственной деятельности (за счет целевых субсидий) на 2021 год</t>
  </si>
  <si>
    <t>2. Обоснования (расчеты) расходов к плану финансово-хозяйственной деятельности (за счет целевых субсидий) на 2021 год</t>
  </si>
  <si>
    <t>услуга по проведению воркшопа "Сторителлинг" Искусство писать историю"</t>
  </si>
  <si>
    <t>1</t>
  </si>
  <si>
    <t>услуга по организации и проведении мастер калсса по актуальным проблемам дизайна с проведением межрегиональной выставки социальных плакатов</t>
  </si>
  <si>
    <t>аптечка первой медецинской помощи</t>
  </si>
  <si>
    <t>Приобретение программного обеспечения (Антивирус Касперский, КриптоПро)</t>
  </si>
  <si>
    <t>Сопровождение электронного периодического справочника "Система ГАРАНТ"</t>
  </si>
  <si>
    <t>Предоставление неисключительных прав</t>
  </si>
  <si>
    <t>ИТС программа 1С</t>
  </si>
  <si>
    <t>Доступ к системе Эконом-эксперт</t>
  </si>
  <si>
    <t>Обучение</t>
  </si>
  <si>
    <t>Обработка архива</t>
  </si>
  <si>
    <t>Ежедневный предрейсовый медицинский осмотр водителя</t>
  </si>
  <si>
    <t>Обязательный медосмотр сотрудников</t>
  </si>
  <si>
    <t>Г.П. Головин</t>
  </si>
  <si>
    <t>Доходы от оказания услуг, работ, компенсации затрат учреждений, всего</t>
  </si>
  <si>
    <t>Субсидия на финансово обеспечение  выполнения государственного задания</t>
  </si>
  <si>
    <t>Доход от возмещения затрат на мероприятия по сокращению производственного травматизма</t>
  </si>
  <si>
    <t>(за счет субсидии на выполнение государственного задания) на  2022  год</t>
  </si>
  <si>
    <t>(за счет субсидии на выполнение государственного задания) на 2022 год</t>
  </si>
  <si>
    <t>(за счет приносящей доход деятельности) на 2022 год</t>
  </si>
  <si>
    <t>(за счет целевых субсидий) на 2022 год</t>
  </si>
  <si>
    <t>(за счет субсидии на выполнение государственного задания) на плановый период 2023 и 2024 годов</t>
  </si>
  <si>
    <t>2024 г.</t>
  </si>
  <si>
    <t>213,498579м3</t>
  </si>
  <si>
    <t>11835,4177квт/ч</t>
  </si>
  <si>
    <t>8046,6290м3</t>
  </si>
  <si>
    <t>167,429475м3</t>
  </si>
  <si>
    <t>техническле обслуживание светодиодных светильников, проектор и принтеров</t>
  </si>
  <si>
    <t>техническое обслуживание системы электроснабжения</t>
  </si>
  <si>
    <t>техническое обслуживание системы отопления и теплоснабжения</t>
  </si>
  <si>
    <t>Техническое обслуживаниюнаружнего водоотведения</t>
  </si>
  <si>
    <t>техническое обслуживание системы наружнего освещения</t>
  </si>
  <si>
    <t>ресонт кровли</t>
  </si>
  <si>
    <t>БСО</t>
  </si>
  <si>
    <t>Специалист по закупкам</t>
  </si>
  <si>
    <t>Секретарь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</si>
  <si>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2022 год</t>
  </si>
  <si>
    <t>1. Обоснования (расчеты) доходов к плану финансово-хозяйственной деятельности (за счет приносящей доход деятельности) на 2022 год</t>
  </si>
  <si>
    <t>2. Обоснования (расчеты) расходов к плану финансово-хозяйственной деятельности (за счет приносящей доход деятельности) на 2022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</si>
  <si>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2023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</si>
  <si>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2024 год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</si>
  <si>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2024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</si>
  <si>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2024 год</t>
  </si>
  <si>
    <t>Госпошлина</t>
  </si>
  <si>
    <t>Доходы от оказания услуг, работ, компенсации затрат учреждения, всего</t>
  </si>
  <si>
    <t>Доход от возмещения затрат на мероприятия по сокращению производственного травмазизма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</si>
</sst>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3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0" xfId="0" applyNumberFormat="1" applyFill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0" fillId="4" borderId="0" xfId="0" applyNumberFormat="1" applyFill="1"/>
    <xf numFmtId="0" fontId="9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top" wrapText="1"/>
    </xf>
    <xf numFmtId="0" fontId="7" fillId="0" borderId="36" xfId="0" applyFont="1" applyBorder="1" applyAlignment="1">
      <alignment horizontal="center" wrapText="1"/>
    </xf>
    <xf numFmtId="4" fontId="7" fillId="0" borderId="28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vertical="top" wrapText="1"/>
    </xf>
    <xf numFmtId="49" fontId="7" fillId="0" borderId="37" xfId="0" applyNumberFormat="1" applyFont="1" applyBorder="1" applyAlignment="1">
      <alignment horizontal="left" wrapText="1"/>
    </xf>
    <xf numFmtId="0" fontId="7" fillId="0" borderId="37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9" fontId="10" fillId="0" borderId="37" xfId="0" applyNumberFormat="1" applyFont="1" applyBorder="1"/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7" fillId="0" borderId="37" xfId="0" applyFont="1" applyBorder="1" applyAlignment="1">
      <alignment wrapText="1"/>
    </xf>
    <xf numFmtId="4" fontId="10" fillId="0" borderId="1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7" fillId="0" borderId="38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4" fontId="7" fillId="0" borderId="27" xfId="0" applyNumberFormat="1" applyFont="1" applyBorder="1" applyAlignment="1">
      <alignment horizontal="center" wrapText="1"/>
    </xf>
    <xf numFmtId="49" fontId="10" fillId="0" borderId="39" xfId="0" applyNumberFormat="1" applyFont="1" applyBorder="1"/>
    <xf numFmtId="0" fontId="10" fillId="0" borderId="38" xfId="0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9" fontId="10" fillId="0" borderId="40" xfId="0" applyNumberFormat="1" applyFont="1" applyBorder="1"/>
    <xf numFmtId="0" fontId="10" fillId="0" borderId="40" xfId="0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wrapText="1"/>
    </xf>
    <xf numFmtId="4" fontId="10" fillId="0" borderId="28" xfId="0" applyNumberFormat="1" applyFont="1" applyBorder="1" applyAlignment="1">
      <alignment horizontal="center" wrapText="1"/>
    </xf>
    <xf numFmtId="4" fontId="10" fillId="0" borderId="11" xfId="0" applyNumberFormat="1" applyFont="1" applyBorder="1" applyAlignment="1">
      <alignment horizontal="center" wrapText="1"/>
    </xf>
    <xf numFmtId="4" fontId="10" fillId="0" borderId="36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49" fontId="10" fillId="0" borderId="26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 wrapText="1"/>
    </xf>
    <xf numFmtId="49" fontId="10" fillId="0" borderId="26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10" fillId="0" borderId="42" xfId="0" applyNumberFormat="1" applyFont="1" applyBorder="1" applyAlignment="1">
      <alignment horizontal="center" wrapText="1"/>
    </xf>
    <xf numFmtId="49" fontId="10" fillId="0" borderId="43" xfId="0" applyNumberFormat="1" applyFon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6"/>
  <sheetViews>
    <sheetView tabSelected="1" view="pageBreakPreview" topLeftCell="A55" zoomScale="85" zoomScaleNormal="85" zoomScaleSheetLayoutView="85" workbookViewId="0">
      <selection activeCell="E65" sqref="E6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4" width="20.7109375" style="7" customWidth="1"/>
    <col min="5" max="6" width="20.42578125" style="7" customWidth="1"/>
    <col min="7" max="7" width="10" style="7" bestFit="1" customWidth="1"/>
    <col min="8" max="8" width="15.140625" style="7" customWidth="1"/>
    <col min="9" max="9" width="14.42578125" style="7" customWidth="1"/>
    <col min="10" max="10" width="12.28515625" style="7" bestFit="1" customWidth="1"/>
    <col min="11" max="16384" width="8.85546875" style="7"/>
  </cols>
  <sheetData>
    <row r="1" spans="1:6" ht="18.75" x14ac:dyDescent="0.25">
      <c r="A1" s="232" t="s">
        <v>193</v>
      </c>
      <c r="B1" s="232"/>
      <c r="C1" s="232"/>
      <c r="D1" s="232"/>
      <c r="E1" s="232"/>
      <c r="F1" s="232"/>
    </row>
    <row r="2" spans="1:6" ht="18.75" x14ac:dyDescent="0.25">
      <c r="A2" s="232" t="s">
        <v>469</v>
      </c>
      <c r="B2" s="232"/>
      <c r="C2" s="232"/>
      <c r="D2" s="232"/>
      <c r="E2" s="232"/>
      <c r="F2" s="232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2</v>
      </c>
      <c r="F5" s="226"/>
    </row>
    <row r="6" spans="1:6" ht="115.15" customHeight="1" thickBot="1" x14ac:dyDescent="0.3">
      <c r="A6" s="225"/>
      <c r="B6" s="227"/>
      <c r="C6" s="229"/>
      <c r="D6" s="227"/>
      <c r="E6" s="117" t="s">
        <v>3</v>
      </c>
      <c r="F6" s="117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4327119.04</v>
      </c>
      <c r="E8" s="209">
        <v>4327119.04</v>
      </c>
      <c r="F8" s="41"/>
    </row>
    <row r="9" spans="1:6" ht="56.25" x14ac:dyDescent="0.25">
      <c r="A9" s="115" t="s">
        <v>48</v>
      </c>
      <c r="B9" s="119" t="s">
        <v>5</v>
      </c>
      <c r="C9" s="119" t="s">
        <v>5</v>
      </c>
      <c r="D9" s="5">
        <f t="shared" ref="D9:D81" si="0">E9+F9</f>
        <v>30244.849999964237</v>
      </c>
      <c r="E9" s="210">
        <f>E8+E10-E20+E102</f>
        <v>30244.849999964237</v>
      </c>
      <c r="F9" s="5">
        <f>F8+F10-F20+F102</f>
        <v>0</v>
      </c>
    </row>
    <row r="10" spans="1:6" ht="18.75" x14ac:dyDescent="0.25">
      <c r="A10" s="115" t="s">
        <v>49</v>
      </c>
      <c r="B10" s="119" t="s">
        <v>5</v>
      </c>
      <c r="C10" s="119" t="s">
        <v>5</v>
      </c>
      <c r="D10" s="5">
        <f>E10+F10</f>
        <v>161654057.26999998</v>
      </c>
      <c r="E10" s="211">
        <f>E12+E16</f>
        <v>161654057.26999998</v>
      </c>
      <c r="F10" s="2">
        <f>F12+F16+F102</f>
        <v>0</v>
      </c>
    </row>
    <row r="11" spans="1:6" ht="18.75" x14ac:dyDescent="0.25">
      <c r="A11" s="115" t="s">
        <v>6</v>
      </c>
      <c r="B11" s="119"/>
      <c r="C11" s="119"/>
      <c r="D11" s="5"/>
      <c r="E11" s="211"/>
      <c r="F11" s="2"/>
    </row>
    <row r="12" spans="1:6" ht="93.75" x14ac:dyDescent="0.25">
      <c r="A12" s="115" t="s">
        <v>466</v>
      </c>
      <c r="B12" s="119">
        <v>130</v>
      </c>
      <c r="C12" s="119" t="s">
        <v>5</v>
      </c>
      <c r="D12" s="5">
        <f>E12+F12</f>
        <v>161654057.26999998</v>
      </c>
      <c r="E12" s="211">
        <f>E14+E15</f>
        <v>161654057.26999998</v>
      </c>
      <c r="F12" s="2"/>
    </row>
    <row r="13" spans="1:6" ht="18.75" x14ac:dyDescent="0.25">
      <c r="A13" s="199" t="s">
        <v>9</v>
      </c>
      <c r="B13" s="200"/>
      <c r="C13" s="200"/>
      <c r="D13" s="5"/>
      <c r="E13" s="211"/>
      <c r="F13" s="2"/>
    </row>
    <row r="14" spans="1:6" ht="112.5" x14ac:dyDescent="0.25">
      <c r="A14" s="199" t="s">
        <v>467</v>
      </c>
      <c r="B14" s="200">
        <v>131</v>
      </c>
      <c r="C14" s="200" t="s">
        <v>117</v>
      </c>
      <c r="D14" s="5">
        <f>E14+F14</f>
        <v>161654057.26999998</v>
      </c>
      <c r="E14" s="211">
        <f>161175790.42+478266.85</f>
        <v>161654057.26999998</v>
      </c>
      <c r="F14" s="2"/>
    </row>
    <row r="15" spans="1:6" ht="112.5" x14ac:dyDescent="0.25">
      <c r="A15" s="199" t="s">
        <v>468</v>
      </c>
      <c r="B15" s="200">
        <v>139</v>
      </c>
      <c r="C15" s="200" t="s">
        <v>117</v>
      </c>
      <c r="D15" s="5">
        <f>E15+F15</f>
        <v>0</v>
      </c>
      <c r="E15" s="211">
        <f>0</f>
        <v>0</v>
      </c>
      <c r="F15" s="2"/>
    </row>
    <row r="16" spans="1:6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11">
        <f t="shared" ref="E16:F16" si="1">E18+E19</f>
        <v>0</v>
      </c>
      <c r="F16" s="2">
        <f t="shared" si="1"/>
        <v>0</v>
      </c>
    </row>
    <row r="17" spans="1:8" ht="18.75" x14ac:dyDescent="0.25">
      <c r="A17" s="115" t="s">
        <v>9</v>
      </c>
      <c r="B17" s="119"/>
      <c r="C17" s="119"/>
      <c r="D17" s="5"/>
      <c r="E17" s="211"/>
      <c r="F17" s="2"/>
    </row>
    <row r="18" spans="1:8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11"/>
      <c r="F18" s="2"/>
    </row>
    <row r="19" spans="1:8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11"/>
      <c r="F19" s="2"/>
    </row>
    <row r="20" spans="1:8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165950931.46000001</v>
      </c>
      <c r="E20" s="211">
        <f>E22+E88</f>
        <v>165950931.46000001</v>
      </c>
      <c r="F20" s="2">
        <f>F22+F88</f>
        <v>0</v>
      </c>
    </row>
    <row r="21" spans="1:8" ht="18.75" x14ac:dyDescent="0.25">
      <c r="A21" s="115" t="s">
        <v>6</v>
      </c>
      <c r="B21" s="119"/>
      <c r="C21" s="119"/>
      <c r="D21" s="5"/>
      <c r="E21" s="211"/>
      <c r="F21" s="2"/>
    </row>
    <row r="22" spans="1:8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155791128.02000001</v>
      </c>
      <c r="E22" s="211">
        <f>E24+E32+E61+E68</f>
        <v>155791128.02000001</v>
      </c>
      <c r="F22" s="2">
        <f>F24+F32+F61+F68</f>
        <v>0</v>
      </c>
    </row>
    <row r="23" spans="1:8" ht="14.45" customHeight="1" x14ac:dyDescent="0.25">
      <c r="A23" s="115" t="s">
        <v>9</v>
      </c>
      <c r="B23" s="119"/>
      <c r="C23" s="119"/>
      <c r="D23" s="5"/>
      <c r="E23" s="211"/>
      <c r="F23" s="2"/>
    </row>
    <row r="24" spans="1:8" ht="75" x14ac:dyDescent="0.25">
      <c r="A24" s="115" t="s">
        <v>10</v>
      </c>
      <c r="B24" s="119" t="s">
        <v>5</v>
      </c>
      <c r="C24" s="119">
        <v>210</v>
      </c>
      <c r="D24" s="5">
        <f t="shared" si="0"/>
        <v>60065200.090000004</v>
      </c>
      <c r="E24" s="211">
        <f>E26+E27+E28+E29</f>
        <v>60065200.090000004</v>
      </c>
      <c r="F24" s="2">
        <f>F26+F27+F28+F29</f>
        <v>0</v>
      </c>
    </row>
    <row r="25" spans="1:8" ht="18.75" x14ac:dyDescent="0.25">
      <c r="A25" s="115" t="s">
        <v>9</v>
      </c>
      <c r="B25" s="119"/>
      <c r="C25" s="119"/>
      <c r="D25" s="5"/>
      <c r="E25" s="211"/>
      <c r="F25" s="2"/>
    </row>
    <row r="26" spans="1:8" ht="18.75" x14ac:dyDescent="0.25">
      <c r="A26" s="115" t="s">
        <v>11</v>
      </c>
      <c r="B26" s="119">
        <v>111</v>
      </c>
      <c r="C26" s="119">
        <v>211</v>
      </c>
      <c r="D26" s="5">
        <f t="shared" si="0"/>
        <v>46019148.510000005</v>
      </c>
      <c r="E26" s="211">
        <f>45876643.04+367332.45-224826.98</f>
        <v>46019148.510000005</v>
      </c>
      <c r="F26" s="2"/>
    </row>
    <row r="27" spans="1:8" ht="75" x14ac:dyDescent="0.25">
      <c r="A27" s="115" t="s">
        <v>12</v>
      </c>
      <c r="B27" s="119">
        <v>112</v>
      </c>
      <c r="C27" s="119">
        <v>212</v>
      </c>
      <c r="D27" s="5">
        <f t="shared" si="0"/>
        <v>12300</v>
      </c>
      <c r="E27" s="211">
        <f>8000+4300</f>
        <v>12300</v>
      </c>
      <c r="F27" s="2"/>
    </row>
    <row r="28" spans="1:8" ht="56.25" x14ac:dyDescent="0.25">
      <c r="A28" s="115" t="s">
        <v>13</v>
      </c>
      <c r="B28" s="119">
        <v>119</v>
      </c>
      <c r="C28" s="119">
        <v>213</v>
      </c>
      <c r="D28" s="5">
        <f t="shared" si="0"/>
        <v>14033751.580000002</v>
      </c>
      <c r="E28" s="211">
        <f>13854746.21+68070.97+110934.4</f>
        <v>14033751.580000002</v>
      </c>
      <c r="F28" s="2"/>
    </row>
    <row r="29" spans="1:8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11">
        <f>E30+E31</f>
        <v>0</v>
      </c>
      <c r="F29" s="2">
        <f>F30+F31</f>
        <v>0</v>
      </c>
    </row>
    <row r="30" spans="1:8" ht="18.75" x14ac:dyDescent="0.25">
      <c r="A30" s="230" t="s">
        <v>6</v>
      </c>
      <c r="B30" s="119">
        <v>112</v>
      </c>
      <c r="C30" s="119">
        <v>214</v>
      </c>
      <c r="D30" s="5">
        <f t="shared" si="0"/>
        <v>0</v>
      </c>
      <c r="E30" s="211"/>
      <c r="F30" s="2"/>
    </row>
    <row r="31" spans="1:8" ht="18.75" x14ac:dyDescent="0.25">
      <c r="A31" s="231"/>
      <c r="B31" s="119">
        <v>244</v>
      </c>
      <c r="C31" s="119">
        <v>214</v>
      </c>
      <c r="D31" s="5">
        <v>0</v>
      </c>
      <c r="E31" s="211"/>
      <c r="F31" s="2"/>
    </row>
    <row r="32" spans="1:8" ht="37.5" x14ac:dyDescent="0.25">
      <c r="A32" s="115" t="s">
        <v>14</v>
      </c>
      <c r="B32" s="119" t="s">
        <v>5</v>
      </c>
      <c r="C32" s="119">
        <v>220</v>
      </c>
      <c r="D32" s="5">
        <f>E32+F32</f>
        <v>75511034.550000012</v>
      </c>
      <c r="E32" s="211">
        <f>E34+E35+E38+E49+E50+E53+E59+E60</f>
        <v>75511034.550000012</v>
      </c>
      <c r="F32" s="2">
        <f>F34+F35+F38+F49+F50+F53+F59</f>
        <v>0</v>
      </c>
      <c r="H32" s="50"/>
    </row>
    <row r="33" spans="1:6" ht="18.75" x14ac:dyDescent="0.25">
      <c r="A33" s="115" t="s">
        <v>9</v>
      </c>
      <c r="B33" s="119"/>
      <c r="C33" s="119"/>
      <c r="D33" s="5"/>
      <c r="E33" s="211"/>
      <c r="F33" s="2"/>
    </row>
    <row r="34" spans="1:6" ht="22.15" customHeight="1" x14ac:dyDescent="0.25">
      <c r="A34" s="115" t="s">
        <v>15</v>
      </c>
      <c r="B34" s="119">
        <v>244</v>
      </c>
      <c r="C34" s="119">
        <v>221</v>
      </c>
      <c r="D34" s="5">
        <f t="shared" si="0"/>
        <v>2419564.23</v>
      </c>
      <c r="E34" s="211">
        <f>2377640+41924.23</f>
        <v>2419564.23</v>
      </c>
      <c r="F34" s="2"/>
    </row>
    <row r="35" spans="1:6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11">
        <f>E36+E37</f>
        <v>0</v>
      </c>
      <c r="F35" s="2">
        <f>F36+F37</f>
        <v>0</v>
      </c>
    </row>
    <row r="36" spans="1:6" ht="18.75" x14ac:dyDescent="0.25">
      <c r="A36" s="216" t="s">
        <v>6</v>
      </c>
      <c r="B36" s="119">
        <v>112</v>
      </c>
      <c r="C36" s="119">
        <v>222</v>
      </c>
      <c r="D36" s="5">
        <f t="shared" si="0"/>
        <v>0</v>
      </c>
      <c r="E36" s="211"/>
      <c r="F36" s="2"/>
    </row>
    <row r="37" spans="1:6" ht="18.75" x14ac:dyDescent="0.25">
      <c r="A37" s="216"/>
      <c r="B37" s="119">
        <v>244</v>
      </c>
      <c r="C37" s="119">
        <v>222</v>
      </c>
      <c r="D37" s="5">
        <f t="shared" si="0"/>
        <v>0</v>
      </c>
      <c r="E37" s="211">
        <v>0</v>
      </c>
      <c r="F37" s="2"/>
    </row>
    <row r="38" spans="1:6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38489203.359999999</v>
      </c>
      <c r="E38" s="211">
        <f t="shared" ref="E38:F38" si="2">E41+E43+E45+E46+E47</f>
        <v>38489203.359999999</v>
      </c>
      <c r="F38" s="2">
        <f t="shared" si="2"/>
        <v>0</v>
      </c>
    </row>
    <row r="39" spans="1:6" ht="22.9" customHeight="1" x14ac:dyDescent="0.25">
      <c r="A39" s="115" t="s">
        <v>6</v>
      </c>
      <c r="B39" s="119"/>
      <c r="C39" s="119"/>
      <c r="D39" s="5"/>
      <c r="E39" s="211"/>
      <c r="F39" s="2"/>
    </row>
    <row r="40" spans="1:6" ht="56.25" x14ac:dyDescent="0.25">
      <c r="A40" s="190" t="s">
        <v>18</v>
      </c>
      <c r="B40" s="191">
        <v>244</v>
      </c>
      <c r="C40" s="191">
        <v>223</v>
      </c>
      <c r="D40" s="5">
        <f t="shared" ref="D40" si="3">E40+F40</f>
        <v>0</v>
      </c>
      <c r="E40" s="211">
        <v>0</v>
      </c>
      <c r="F40" s="2"/>
    </row>
    <row r="41" spans="1:6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11">
        <v>0</v>
      </c>
      <c r="F41" s="2"/>
    </row>
    <row r="42" spans="1:6" ht="37.5" x14ac:dyDescent="0.25">
      <c r="A42" s="190" t="s">
        <v>19</v>
      </c>
      <c r="B42" s="191">
        <v>244</v>
      </c>
      <c r="C42" s="191">
        <v>223</v>
      </c>
      <c r="D42" s="5">
        <f t="shared" ref="D42" si="4">E42+F42</f>
        <v>0</v>
      </c>
      <c r="E42" s="211">
        <v>0</v>
      </c>
      <c r="F42" s="2"/>
    </row>
    <row r="43" spans="1:6" ht="37.5" x14ac:dyDescent="0.25">
      <c r="A43" s="115" t="s">
        <v>19</v>
      </c>
      <c r="B43" s="119">
        <v>247</v>
      </c>
      <c r="C43" s="119">
        <v>223</v>
      </c>
      <c r="D43" s="5">
        <f t="shared" si="0"/>
        <v>3890688.38</v>
      </c>
      <c r="E43" s="211">
        <f>3583464.12+307224.26</f>
        <v>3890688.38</v>
      </c>
      <c r="F43" s="2"/>
    </row>
    <row r="44" spans="1:6" ht="75" x14ac:dyDescent="0.25">
      <c r="A44" s="190" t="s">
        <v>20</v>
      </c>
      <c r="B44" s="191">
        <v>244</v>
      </c>
      <c r="C44" s="191">
        <v>223</v>
      </c>
      <c r="D44" s="5">
        <f t="shared" ref="D44" si="5">E44+F44</f>
        <v>0</v>
      </c>
      <c r="E44" s="211">
        <v>0</v>
      </c>
      <c r="F44" s="2"/>
    </row>
    <row r="45" spans="1:6" ht="75" x14ac:dyDescent="0.25">
      <c r="A45" s="115" t="s">
        <v>20</v>
      </c>
      <c r="B45" s="119">
        <v>247</v>
      </c>
      <c r="C45" s="119">
        <v>223</v>
      </c>
      <c r="D45" s="5">
        <f t="shared" si="0"/>
        <v>27315317.02</v>
      </c>
      <c r="E45" s="211">
        <f>25015935+2299382.02</f>
        <v>27315317.02</v>
      </c>
      <c r="F45" s="2"/>
    </row>
    <row r="46" spans="1:6" ht="75" x14ac:dyDescent="0.25">
      <c r="A46" s="115" t="s">
        <v>21</v>
      </c>
      <c r="B46" s="119">
        <v>244</v>
      </c>
      <c r="C46" s="119">
        <v>223</v>
      </c>
      <c r="D46" s="5">
        <f t="shared" si="0"/>
        <v>6693716.8600000003</v>
      </c>
      <c r="E46" s="211">
        <f>6496854+227107.71-30244.85</f>
        <v>6693716.8600000003</v>
      </c>
      <c r="F46" s="2"/>
    </row>
    <row r="47" spans="1:6" ht="56.25" x14ac:dyDescent="0.25">
      <c r="A47" s="115" t="s">
        <v>22</v>
      </c>
      <c r="B47" s="119">
        <v>244</v>
      </c>
      <c r="C47" s="119">
        <v>223</v>
      </c>
      <c r="D47" s="5">
        <f t="shared" si="0"/>
        <v>589481.1</v>
      </c>
      <c r="E47" s="211">
        <v>589481.1</v>
      </c>
      <c r="F47" s="2"/>
    </row>
    <row r="48" spans="1:6" ht="56.25" x14ac:dyDescent="0.25">
      <c r="A48" s="195" t="s">
        <v>446</v>
      </c>
      <c r="B48" s="196">
        <v>244</v>
      </c>
      <c r="C48" s="196">
        <v>223</v>
      </c>
      <c r="D48" s="5">
        <f t="shared" ref="D48" si="6">E48+F48</f>
        <v>30244.85</v>
      </c>
      <c r="E48" s="211">
        <f>30244.85</f>
        <v>30244.85</v>
      </c>
      <c r="F48" s="2"/>
    </row>
    <row r="49" spans="1:6" ht="143.44999999999999" customHeight="1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11"/>
      <c r="F49" s="2"/>
    </row>
    <row r="50" spans="1:6" ht="56.25" x14ac:dyDescent="0.25">
      <c r="A50" s="115" t="s">
        <v>24</v>
      </c>
      <c r="B50" s="119" t="s">
        <v>5</v>
      </c>
      <c r="C50" s="119">
        <v>225</v>
      </c>
      <c r="D50" s="2">
        <f t="shared" ref="D50:F50" si="7">D51+D52</f>
        <v>25386254.550000001</v>
      </c>
      <c r="E50" s="211">
        <f>E51+E52</f>
        <v>25386254.550000001</v>
      </c>
      <c r="F50" s="2">
        <f t="shared" si="7"/>
        <v>0</v>
      </c>
    </row>
    <row r="51" spans="1:6" ht="18.75" x14ac:dyDescent="0.25">
      <c r="A51" s="216" t="s">
        <v>6</v>
      </c>
      <c r="B51" s="119">
        <v>243</v>
      </c>
      <c r="C51" s="119">
        <v>225</v>
      </c>
      <c r="D51" s="5">
        <f t="shared" si="0"/>
        <v>0</v>
      </c>
      <c r="E51" s="211"/>
      <c r="F51" s="2"/>
    </row>
    <row r="52" spans="1:6" ht="18.75" x14ac:dyDescent="0.25">
      <c r="A52" s="216"/>
      <c r="B52" s="119">
        <v>244</v>
      </c>
      <c r="C52" s="119">
        <v>225</v>
      </c>
      <c r="D52" s="5">
        <f t="shared" si="0"/>
        <v>25386254.550000001</v>
      </c>
      <c r="E52" s="211">
        <f>24992701.13+393553.42</f>
        <v>25386254.550000001</v>
      </c>
      <c r="F52" s="2"/>
    </row>
    <row r="53" spans="1:6" ht="37.5" x14ac:dyDescent="0.25">
      <c r="A53" s="115" t="s">
        <v>58</v>
      </c>
      <c r="B53" s="119" t="s">
        <v>5</v>
      </c>
      <c r="C53" s="119">
        <v>226</v>
      </c>
      <c r="D53" s="5">
        <f t="shared" si="0"/>
        <v>9210044.7899999991</v>
      </c>
      <c r="E53" s="211">
        <f>E54+E55+E57+E58+E56</f>
        <v>9210044.7899999991</v>
      </c>
      <c r="F53" s="2">
        <f>F54+F55+F57+F58+F56</f>
        <v>0</v>
      </c>
    </row>
    <row r="54" spans="1:6" ht="18.75" x14ac:dyDescent="0.25">
      <c r="A54" s="216" t="s">
        <v>6</v>
      </c>
      <c r="B54" s="119">
        <v>112</v>
      </c>
      <c r="C54" s="119">
        <v>226</v>
      </c>
      <c r="D54" s="5">
        <f t="shared" si="0"/>
        <v>80000</v>
      </c>
      <c r="E54" s="211">
        <f>80000</f>
        <v>80000</v>
      </c>
      <c r="F54" s="2"/>
    </row>
    <row r="55" spans="1:6" ht="18.75" x14ac:dyDescent="0.25">
      <c r="A55" s="216"/>
      <c r="B55" s="119">
        <v>113</v>
      </c>
      <c r="C55" s="119">
        <v>226</v>
      </c>
      <c r="D55" s="5">
        <f t="shared" si="0"/>
        <v>0</v>
      </c>
      <c r="E55" s="211"/>
      <c r="F55" s="2"/>
    </row>
    <row r="56" spans="1:6" ht="18.75" x14ac:dyDescent="0.25">
      <c r="A56" s="216"/>
      <c r="B56" s="119">
        <v>119</v>
      </c>
      <c r="C56" s="119">
        <v>226</v>
      </c>
      <c r="D56" s="5">
        <f t="shared" si="0"/>
        <v>0</v>
      </c>
      <c r="E56" s="211"/>
      <c r="F56" s="2"/>
    </row>
    <row r="57" spans="1:6" ht="18.75" x14ac:dyDescent="0.25">
      <c r="A57" s="216"/>
      <c r="B57" s="119">
        <v>243</v>
      </c>
      <c r="C57" s="119">
        <v>226</v>
      </c>
      <c r="D57" s="5">
        <f t="shared" si="0"/>
        <v>0</v>
      </c>
      <c r="E57" s="211"/>
      <c r="F57" s="2"/>
    </row>
    <row r="58" spans="1:6" ht="18.75" x14ac:dyDescent="0.25">
      <c r="A58" s="216"/>
      <c r="B58" s="119">
        <v>244</v>
      </c>
      <c r="C58" s="119">
        <v>226</v>
      </c>
      <c r="D58" s="5">
        <f t="shared" si="0"/>
        <v>9130044.7899999991</v>
      </c>
      <c r="E58" s="211">
        <f>9008461.28+121583.51</f>
        <v>9130044.7899999991</v>
      </c>
      <c r="F58" s="2"/>
    </row>
    <row r="59" spans="1:6" ht="18.75" x14ac:dyDescent="0.25">
      <c r="A59" s="115" t="s">
        <v>25</v>
      </c>
      <c r="B59" s="119">
        <v>244</v>
      </c>
      <c r="C59" s="119">
        <v>227</v>
      </c>
      <c r="D59" s="5">
        <f t="shared" si="0"/>
        <v>5967.62</v>
      </c>
      <c r="E59" s="211">
        <f>5067.62+900</f>
        <v>5967.62</v>
      </c>
      <c r="F59" s="2"/>
    </row>
    <row r="60" spans="1:6" ht="56.25" x14ac:dyDescent="0.25">
      <c r="A60" s="170" t="s">
        <v>346</v>
      </c>
      <c r="B60" s="171">
        <v>244</v>
      </c>
      <c r="C60" s="171">
        <v>228</v>
      </c>
      <c r="D60" s="5">
        <f t="shared" ref="D60" si="8">E60+F60</f>
        <v>0</v>
      </c>
      <c r="E60" s="211">
        <v>0</v>
      </c>
      <c r="F60" s="2"/>
    </row>
    <row r="61" spans="1:6" ht="37.5" x14ac:dyDescent="0.25">
      <c r="A61" s="115" t="s">
        <v>26</v>
      </c>
      <c r="B61" s="119" t="s">
        <v>5</v>
      </c>
      <c r="C61" s="119">
        <v>260</v>
      </c>
      <c r="D61" s="5">
        <f>E61+F61</f>
        <v>300000</v>
      </c>
      <c r="E61" s="211">
        <f>E62+E63+E64+E67</f>
        <v>300000</v>
      </c>
      <c r="F61" s="2">
        <f>F62+F64+F67</f>
        <v>0</v>
      </c>
    </row>
    <row r="62" spans="1:6" ht="112.5" x14ac:dyDescent="0.25">
      <c r="A62" s="115" t="s">
        <v>27</v>
      </c>
      <c r="B62" s="119">
        <v>321</v>
      </c>
      <c r="C62" s="119">
        <v>264</v>
      </c>
      <c r="D62" s="5">
        <f t="shared" si="0"/>
        <v>0</v>
      </c>
      <c r="E62" s="211"/>
      <c r="F62" s="2"/>
    </row>
    <row r="63" spans="1:6" ht="168.75" x14ac:dyDescent="0.25">
      <c r="A63" s="193" t="s">
        <v>444</v>
      </c>
      <c r="B63" s="194">
        <v>119</v>
      </c>
      <c r="C63" s="194">
        <v>265</v>
      </c>
      <c r="D63" s="5">
        <f t="shared" ref="D63" si="9">E63+F63</f>
        <v>0</v>
      </c>
      <c r="E63" s="211">
        <v>0</v>
      </c>
      <c r="F63" s="2"/>
    </row>
    <row r="64" spans="1:6" ht="93.75" x14ac:dyDescent="0.25">
      <c r="A64" s="115" t="s">
        <v>28</v>
      </c>
      <c r="B64" s="119" t="s">
        <v>5</v>
      </c>
      <c r="C64" s="119">
        <v>266</v>
      </c>
      <c r="D64" s="5">
        <f t="shared" si="0"/>
        <v>300000</v>
      </c>
      <c r="E64" s="211">
        <f t="shared" ref="E64:F64" si="10">E65+E66</f>
        <v>300000</v>
      </c>
      <c r="F64" s="2">
        <f t="shared" si="10"/>
        <v>0</v>
      </c>
    </row>
    <row r="65" spans="1:6" ht="18.75" x14ac:dyDescent="0.25">
      <c r="A65" s="216" t="s">
        <v>6</v>
      </c>
      <c r="B65" s="119">
        <v>111</v>
      </c>
      <c r="C65" s="119">
        <v>266</v>
      </c>
      <c r="D65" s="5">
        <f t="shared" si="0"/>
        <v>300000</v>
      </c>
      <c r="E65" s="211">
        <f>49999.92+25173.1+224826.98</f>
        <v>300000</v>
      </c>
      <c r="F65" s="2"/>
    </row>
    <row r="66" spans="1:6" ht="18.75" x14ac:dyDescent="0.25">
      <c r="A66" s="216"/>
      <c r="B66" s="119">
        <v>112</v>
      </c>
      <c r="C66" s="119">
        <v>266</v>
      </c>
      <c r="D66" s="5">
        <f t="shared" si="0"/>
        <v>0</v>
      </c>
      <c r="E66" s="211"/>
      <c r="F66" s="2"/>
    </row>
    <row r="67" spans="1:6" ht="75" x14ac:dyDescent="0.25">
      <c r="A67" s="115" t="s">
        <v>29</v>
      </c>
      <c r="B67" s="119">
        <v>112</v>
      </c>
      <c r="C67" s="119">
        <v>267</v>
      </c>
      <c r="D67" s="5">
        <f t="shared" si="0"/>
        <v>0</v>
      </c>
      <c r="E67" s="211"/>
      <c r="F67" s="2"/>
    </row>
    <row r="68" spans="1:6" ht="18.75" x14ac:dyDescent="0.25">
      <c r="A68" s="115" t="s">
        <v>30</v>
      </c>
      <c r="B68" s="119" t="s">
        <v>5</v>
      </c>
      <c r="C68" s="119">
        <v>290</v>
      </c>
      <c r="D68" s="5">
        <f t="shared" si="0"/>
        <v>19914893.379999999</v>
      </c>
      <c r="E68" s="211">
        <f>E70+E74+E75+E76+E77+E84</f>
        <v>19914893.379999999</v>
      </c>
      <c r="F68" s="2">
        <f>F70+F74+F75+F76+F77+F84</f>
        <v>0</v>
      </c>
    </row>
    <row r="69" spans="1:6" ht="18.75" x14ac:dyDescent="0.25">
      <c r="A69" s="115" t="s">
        <v>9</v>
      </c>
      <c r="B69" s="119"/>
      <c r="C69" s="119"/>
      <c r="D69" s="5">
        <f t="shared" si="0"/>
        <v>0</v>
      </c>
      <c r="E69" s="211"/>
      <c r="F69" s="2"/>
    </row>
    <row r="70" spans="1:6" ht="37.5" x14ac:dyDescent="0.25">
      <c r="A70" s="115" t="s">
        <v>31</v>
      </c>
      <c r="B70" s="119" t="s">
        <v>5</v>
      </c>
      <c r="C70" s="119">
        <v>291</v>
      </c>
      <c r="D70" s="5">
        <f t="shared" si="0"/>
        <v>19914893.379999999</v>
      </c>
      <c r="E70" s="211">
        <f t="shared" ref="E70:F70" si="11">E71+E72+E73</f>
        <v>19914893.379999999</v>
      </c>
      <c r="F70" s="2">
        <f t="shared" si="11"/>
        <v>0</v>
      </c>
    </row>
    <row r="71" spans="1:6" ht="18.75" x14ac:dyDescent="0.25">
      <c r="A71" s="216" t="s">
        <v>6</v>
      </c>
      <c r="B71" s="119">
        <v>851</v>
      </c>
      <c r="C71" s="119">
        <v>291</v>
      </c>
      <c r="D71" s="5">
        <f t="shared" si="0"/>
        <v>19861943.379999999</v>
      </c>
      <c r="E71" s="211">
        <v>19861943.379999999</v>
      </c>
      <c r="F71" s="2"/>
    </row>
    <row r="72" spans="1:6" ht="18.75" x14ac:dyDescent="0.25">
      <c r="A72" s="216"/>
      <c r="B72" s="119">
        <v>852</v>
      </c>
      <c r="C72" s="119">
        <v>291</v>
      </c>
      <c r="D72" s="5">
        <f t="shared" si="0"/>
        <v>51650</v>
      </c>
      <c r="E72" s="211">
        <f>51650</f>
        <v>51650</v>
      </c>
      <c r="F72" s="2"/>
    </row>
    <row r="73" spans="1:6" ht="18.75" x14ac:dyDescent="0.25">
      <c r="A73" s="216"/>
      <c r="B73" s="119">
        <v>853</v>
      </c>
      <c r="C73" s="119">
        <v>291</v>
      </c>
      <c r="D73" s="5">
        <f t="shared" si="0"/>
        <v>1300</v>
      </c>
      <c r="E73" s="211">
        <v>1300</v>
      </c>
      <c r="F73" s="2"/>
    </row>
    <row r="74" spans="1:6" ht="112.5" x14ac:dyDescent="0.25">
      <c r="A74" s="115" t="s">
        <v>32</v>
      </c>
      <c r="B74" s="119">
        <v>853</v>
      </c>
      <c r="C74" s="119">
        <v>292</v>
      </c>
      <c r="D74" s="5">
        <f t="shared" si="0"/>
        <v>0</v>
      </c>
      <c r="E74" s="211"/>
      <c r="F74" s="2">
        <v>0</v>
      </c>
    </row>
    <row r="75" spans="1:6" ht="131.25" x14ac:dyDescent="0.25">
      <c r="A75" s="115" t="s">
        <v>33</v>
      </c>
      <c r="B75" s="119">
        <v>853</v>
      </c>
      <c r="C75" s="119">
        <v>293</v>
      </c>
      <c r="D75" s="5">
        <f t="shared" si="0"/>
        <v>0</v>
      </c>
      <c r="E75" s="211"/>
      <c r="F75" s="2">
        <v>0</v>
      </c>
    </row>
    <row r="76" spans="1:6" ht="57" customHeight="1" x14ac:dyDescent="0.25">
      <c r="A76" s="115" t="s">
        <v>158</v>
      </c>
      <c r="B76" s="119">
        <v>853</v>
      </c>
      <c r="C76" s="119">
        <v>295</v>
      </c>
      <c r="D76" s="5">
        <f t="shared" si="0"/>
        <v>0</v>
      </c>
      <c r="E76" s="211"/>
      <c r="F76" s="2">
        <v>0</v>
      </c>
    </row>
    <row r="77" spans="1:6" ht="56.25" x14ac:dyDescent="0.25">
      <c r="A77" s="115" t="s">
        <v>34</v>
      </c>
      <c r="B77" s="119" t="s">
        <v>5</v>
      </c>
      <c r="C77" s="119">
        <v>296</v>
      </c>
      <c r="D77" s="5">
        <f t="shared" si="0"/>
        <v>0</v>
      </c>
      <c r="E77" s="211">
        <f t="shared" ref="E77:F77" si="12">E78+E79+E80+E81+E83</f>
        <v>0</v>
      </c>
      <c r="F77" s="2">
        <f t="shared" si="12"/>
        <v>0</v>
      </c>
    </row>
    <row r="78" spans="1:6" ht="18.75" x14ac:dyDescent="0.25">
      <c r="A78" s="216" t="s">
        <v>6</v>
      </c>
      <c r="B78" s="119">
        <v>244</v>
      </c>
      <c r="C78" s="119">
        <v>296</v>
      </c>
      <c r="D78" s="5">
        <f t="shared" si="0"/>
        <v>0</v>
      </c>
      <c r="E78" s="211"/>
      <c r="F78" s="2"/>
    </row>
    <row r="79" spans="1:6" ht="18.75" x14ac:dyDescent="0.25">
      <c r="A79" s="216"/>
      <c r="B79" s="119">
        <v>340</v>
      </c>
      <c r="C79" s="119">
        <v>296</v>
      </c>
      <c r="D79" s="5">
        <f t="shared" si="0"/>
        <v>0</v>
      </c>
      <c r="E79" s="211"/>
      <c r="F79" s="2"/>
    </row>
    <row r="80" spans="1:6" ht="18.75" x14ac:dyDescent="0.25">
      <c r="A80" s="216"/>
      <c r="B80" s="119">
        <v>350</v>
      </c>
      <c r="C80" s="119">
        <v>296</v>
      </c>
      <c r="D80" s="5">
        <f t="shared" si="0"/>
        <v>0</v>
      </c>
      <c r="E80" s="211"/>
      <c r="F80" s="2"/>
    </row>
    <row r="81" spans="1:6" ht="18.75" x14ac:dyDescent="0.25">
      <c r="A81" s="216"/>
      <c r="B81" s="119">
        <v>360</v>
      </c>
      <c r="C81" s="119">
        <v>296</v>
      </c>
      <c r="D81" s="5">
        <f t="shared" si="0"/>
        <v>0</v>
      </c>
      <c r="E81" s="211"/>
      <c r="F81" s="2"/>
    </row>
    <row r="82" spans="1:6" ht="18.75" x14ac:dyDescent="0.25">
      <c r="A82" s="216"/>
      <c r="B82" s="215">
        <v>831</v>
      </c>
      <c r="C82" s="215">
        <v>296</v>
      </c>
      <c r="D82" s="5">
        <f t="shared" ref="D82" si="13">E82+F82</f>
        <v>0</v>
      </c>
      <c r="E82" s="211"/>
      <c r="F82" s="2"/>
    </row>
    <row r="83" spans="1:6" ht="18.75" x14ac:dyDescent="0.25">
      <c r="A83" s="216"/>
      <c r="B83" s="119">
        <v>853</v>
      </c>
      <c r="C83" s="119">
        <v>296</v>
      </c>
      <c r="D83" s="5">
        <f t="shared" ref="D83:D106" si="14">E83+F83</f>
        <v>0</v>
      </c>
      <c r="E83" s="211"/>
      <c r="F83" s="2"/>
    </row>
    <row r="84" spans="1:6" ht="56.25" x14ac:dyDescent="0.25">
      <c r="A84" s="115" t="s">
        <v>35</v>
      </c>
      <c r="B84" s="119" t="s">
        <v>5</v>
      </c>
      <c r="C84" s="119">
        <v>297</v>
      </c>
      <c r="D84" s="5">
        <f>E84+F84</f>
        <v>0</v>
      </c>
      <c r="E84" s="211">
        <f>E85+E86+E87</f>
        <v>0</v>
      </c>
      <c r="F84" s="2">
        <f>F85+F86+F87</f>
        <v>0</v>
      </c>
    </row>
    <row r="85" spans="1:6" ht="18.75" x14ac:dyDescent="0.25">
      <c r="A85" s="216" t="s">
        <v>6</v>
      </c>
      <c r="B85" s="119">
        <v>244</v>
      </c>
      <c r="C85" s="119">
        <v>297</v>
      </c>
      <c r="D85" s="5">
        <f t="shared" si="14"/>
        <v>0</v>
      </c>
      <c r="E85" s="211"/>
      <c r="F85" s="2"/>
    </row>
    <row r="86" spans="1:6" ht="18.75" x14ac:dyDescent="0.25">
      <c r="A86" s="216"/>
      <c r="B86" s="192">
        <v>831</v>
      </c>
      <c r="C86" s="192">
        <v>297</v>
      </c>
      <c r="D86" s="5">
        <f t="shared" si="14"/>
        <v>0</v>
      </c>
      <c r="E86" s="211"/>
      <c r="F86" s="2"/>
    </row>
    <row r="87" spans="1:6" ht="18.75" x14ac:dyDescent="0.25">
      <c r="A87" s="216"/>
      <c r="B87" s="119">
        <v>853</v>
      </c>
      <c r="C87" s="119">
        <v>297</v>
      </c>
      <c r="D87" s="5">
        <f t="shared" si="14"/>
        <v>0</v>
      </c>
      <c r="E87" s="211"/>
      <c r="F87" s="2"/>
    </row>
    <row r="88" spans="1:6" ht="56.25" x14ac:dyDescent="0.25">
      <c r="A88" s="115" t="s">
        <v>59</v>
      </c>
      <c r="B88" s="119" t="s">
        <v>5</v>
      </c>
      <c r="C88" s="119">
        <v>300</v>
      </c>
      <c r="D88" s="5">
        <f t="shared" si="14"/>
        <v>10159803.439999999</v>
      </c>
      <c r="E88" s="211">
        <f>E90+E92+E91</f>
        <v>10159803.439999999</v>
      </c>
      <c r="F88" s="2">
        <f>F90+F92+F91</f>
        <v>0</v>
      </c>
    </row>
    <row r="89" spans="1:6" ht="14.45" customHeight="1" x14ac:dyDescent="0.25">
      <c r="A89" s="115" t="s">
        <v>9</v>
      </c>
      <c r="B89" s="119"/>
      <c r="C89" s="119"/>
      <c r="D89" s="5"/>
      <c r="E89" s="211"/>
      <c r="F89" s="2"/>
    </row>
    <row r="90" spans="1:6" ht="56.25" x14ac:dyDescent="0.25">
      <c r="A90" s="115" t="s">
        <v>36</v>
      </c>
      <c r="B90" s="119">
        <v>244</v>
      </c>
      <c r="C90" s="119">
        <v>310</v>
      </c>
      <c r="D90" s="5">
        <f t="shared" si="14"/>
        <v>0</v>
      </c>
      <c r="E90" s="211"/>
      <c r="F90" s="2"/>
    </row>
    <row r="91" spans="1:6" ht="75" x14ac:dyDescent="0.25">
      <c r="A91" s="115" t="s">
        <v>68</v>
      </c>
      <c r="B91" s="119">
        <v>244</v>
      </c>
      <c r="C91" s="119">
        <v>320</v>
      </c>
      <c r="D91" s="5">
        <f t="shared" si="14"/>
        <v>0</v>
      </c>
      <c r="E91" s="211"/>
      <c r="F91" s="2"/>
    </row>
    <row r="92" spans="1:6" ht="75" x14ac:dyDescent="0.25">
      <c r="A92" s="115" t="s">
        <v>60</v>
      </c>
      <c r="B92" s="119" t="s">
        <v>5</v>
      </c>
      <c r="C92" s="119">
        <v>340</v>
      </c>
      <c r="D92" s="5">
        <f t="shared" si="14"/>
        <v>10159803.439999999</v>
      </c>
      <c r="E92" s="211">
        <f>E94+E95+E96+E97+E98+E99+E100+E101</f>
        <v>10159803.439999999</v>
      </c>
      <c r="F92" s="2">
        <f>F94+F95+F96+F97+F98+F99+F101</f>
        <v>0</v>
      </c>
    </row>
    <row r="93" spans="1:6" ht="18.75" x14ac:dyDescent="0.25">
      <c r="A93" s="115" t="s">
        <v>6</v>
      </c>
      <c r="B93" s="119"/>
      <c r="C93" s="119"/>
      <c r="D93" s="5"/>
      <c r="E93" s="211"/>
      <c r="F93" s="2"/>
    </row>
    <row r="94" spans="1:6" ht="131.25" x14ac:dyDescent="0.25">
      <c r="A94" s="115" t="s">
        <v>37</v>
      </c>
      <c r="B94" s="119">
        <v>244</v>
      </c>
      <c r="C94" s="119">
        <v>341</v>
      </c>
      <c r="D94" s="5">
        <f t="shared" si="14"/>
        <v>0</v>
      </c>
      <c r="E94" s="211"/>
      <c r="F94" s="2"/>
    </row>
    <row r="95" spans="1:6" ht="56.25" x14ac:dyDescent="0.25">
      <c r="A95" s="115" t="s">
        <v>38</v>
      </c>
      <c r="B95" s="119">
        <v>244</v>
      </c>
      <c r="C95" s="119">
        <v>342</v>
      </c>
      <c r="D95" s="5">
        <f t="shared" si="14"/>
        <v>0</v>
      </c>
      <c r="E95" s="211">
        <v>0</v>
      </c>
      <c r="F95" s="2"/>
    </row>
    <row r="96" spans="1:6" ht="75" x14ac:dyDescent="0.25">
      <c r="A96" s="115" t="s">
        <v>39</v>
      </c>
      <c r="B96" s="119">
        <v>244</v>
      </c>
      <c r="C96" s="119">
        <v>343</v>
      </c>
      <c r="D96" s="5">
        <f t="shared" si="14"/>
        <v>334394.61</v>
      </c>
      <c r="E96" s="211">
        <f>290000+44394.61</f>
        <v>334394.61</v>
      </c>
      <c r="F96" s="2"/>
    </row>
    <row r="97" spans="1:6" ht="75" x14ac:dyDescent="0.25">
      <c r="A97" s="115" t="s">
        <v>40</v>
      </c>
      <c r="B97" s="119">
        <v>244</v>
      </c>
      <c r="C97" s="119">
        <v>344</v>
      </c>
      <c r="D97" s="5">
        <f t="shared" si="14"/>
        <v>224794.3</v>
      </c>
      <c r="E97" s="211">
        <f>200000+24794.3</f>
        <v>224794.3</v>
      </c>
      <c r="F97" s="2"/>
    </row>
    <row r="98" spans="1:6" ht="56.25" x14ac:dyDescent="0.25">
      <c r="A98" s="115" t="s">
        <v>41</v>
      </c>
      <c r="B98" s="119">
        <v>244</v>
      </c>
      <c r="C98" s="119">
        <v>345</v>
      </c>
      <c r="D98" s="5">
        <f t="shared" si="14"/>
        <v>844795</v>
      </c>
      <c r="E98" s="211">
        <f>334245+510550</f>
        <v>844795</v>
      </c>
      <c r="F98" s="2"/>
    </row>
    <row r="99" spans="1:6" ht="75" x14ac:dyDescent="0.25">
      <c r="A99" s="115" t="s">
        <v>42</v>
      </c>
      <c r="B99" s="119">
        <v>244</v>
      </c>
      <c r="C99" s="119">
        <v>346</v>
      </c>
      <c r="D99" s="5">
        <f t="shared" si="14"/>
        <v>8687119.5299999993</v>
      </c>
      <c r="E99" s="211">
        <f>8428958.62+258160.91</f>
        <v>8687119.5299999993</v>
      </c>
      <c r="F99" s="2"/>
    </row>
    <row r="100" spans="1:6" ht="112.5" x14ac:dyDescent="0.25">
      <c r="A100" s="170" t="s">
        <v>347</v>
      </c>
      <c r="B100" s="171">
        <v>244</v>
      </c>
      <c r="C100" s="171">
        <v>347</v>
      </c>
      <c r="D100" s="5">
        <f t="shared" ref="D100" si="15">E100+F100</f>
        <v>0</v>
      </c>
      <c r="E100" s="211">
        <v>0</v>
      </c>
      <c r="F100" s="2"/>
    </row>
    <row r="101" spans="1:6" ht="112.5" x14ac:dyDescent="0.25">
      <c r="A101" s="115" t="s">
        <v>43</v>
      </c>
      <c r="B101" s="119">
        <v>244</v>
      </c>
      <c r="C101" s="119">
        <v>349</v>
      </c>
      <c r="D101" s="5">
        <f t="shared" si="14"/>
        <v>68700</v>
      </c>
      <c r="E101" s="211">
        <f>148700-80000</f>
        <v>68700</v>
      </c>
      <c r="F101" s="2"/>
    </row>
    <row r="102" spans="1:6" ht="56.25" x14ac:dyDescent="0.25">
      <c r="A102" s="115" t="s">
        <v>67</v>
      </c>
      <c r="B102" s="119" t="s">
        <v>5</v>
      </c>
      <c r="C102" s="119" t="s">
        <v>5</v>
      </c>
      <c r="D102" s="5">
        <f t="shared" si="14"/>
        <v>0</v>
      </c>
      <c r="E102" s="211">
        <f t="shared" ref="E102:F102" si="16">E104+E105+E106</f>
        <v>0</v>
      </c>
      <c r="F102" s="2">
        <f t="shared" si="16"/>
        <v>0</v>
      </c>
    </row>
    <row r="103" spans="1:6" ht="18.75" x14ac:dyDescent="0.25">
      <c r="A103" s="115" t="s">
        <v>6</v>
      </c>
      <c r="B103" s="119"/>
      <c r="C103" s="119"/>
      <c r="D103" s="5"/>
      <c r="E103" s="211"/>
      <c r="F103" s="2"/>
    </row>
    <row r="104" spans="1:6" ht="25.15" customHeight="1" x14ac:dyDescent="0.25">
      <c r="A104" s="115" t="s">
        <v>194</v>
      </c>
      <c r="B104" s="119">
        <v>180</v>
      </c>
      <c r="C104" s="119" t="s">
        <v>5</v>
      </c>
      <c r="D104" s="5">
        <f t="shared" si="14"/>
        <v>0</v>
      </c>
      <c r="E104" s="211"/>
      <c r="F104" s="2"/>
    </row>
    <row r="105" spans="1:6" ht="56.25" x14ac:dyDescent="0.25">
      <c r="A105" s="115" t="s">
        <v>195</v>
      </c>
      <c r="B105" s="119">
        <v>180</v>
      </c>
      <c r="C105" s="119" t="s">
        <v>5</v>
      </c>
      <c r="D105" s="5">
        <f t="shared" si="14"/>
        <v>0</v>
      </c>
      <c r="E105" s="211"/>
      <c r="F105" s="2"/>
    </row>
    <row r="106" spans="1:6" ht="57" thickBot="1" x14ac:dyDescent="0.3">
      <c r="A106" s="32" t="s">
        <v>196</v>
      </c>
      <c r="B106" s="33">
        <v>180</v>
      </c>
      <c r="C106" s="33" t="s">
        <v>5</v>
      </c>
      <c r="D106" s="34">
        <f t="shared" si="14"/>
        <v>0</v>
      </c>
      <c r="E106" s="212"/>
      <c r="F106" s="35"/>
    </row>
    <row r="107" spans="1:6" ht="18.600000000000001" customHeight="1" x14ac:dyDescent="0.25">
      <c r="A107" s="15"/>
      <c r="B107" s="19"/>
      <c r="C107" s="19"/>
      <c r="D107" s="36"/>
      <c r="E107" s="36"/>
      <c r="F107" s="36"/>
    </row>
    <row r="108" spans="1:6" x14ac:dyDescent="0.25">
      <c r="A108" s="11"/>
    </row>
    <row r="109" spans="1:6" ht="37.5" x14ac:dyDescent="0.3">
      <c r="A109" s="29" t="s">
        <v>52</v>
      </c>
      <c r="B109" s="219"/>
      <c r="C109" s="219"/>
      <c r="D109" s="10"/>
      <c r="E109" s="219" t="s">
        <v>465</v>
      </c>
      <c r="F109" s="219"/>
    </row>
    <row r="110" spans="1:6" ht="18.75" x14ac:dyDescent="0.3">
      <c r="A110" s="29"/>
      <c r="B110" s="218" t="s">
        <v>53</v>
      </c>
      <c r="C110" s="218"/>
      <c r="D110" s="10"/>
      <c r="E110" s="218" t="s">
        <v>54</v>
      </c>
      <c r="F110" s="218"/>
    </row>
    <row r="111" spans="1:6" ht="18.75" x14ac:dyDescent="0.3">
      <c r="A111" s="29"/>
      <c r="B111" s="10"/>
      <c r="C111" s="10"/>
      <c r="D111" s="10"/>
      <c r="E111" s="10"/>
      <c r="F111" s="10"/>
    </row>
    <row r="112" spans="1:6" ht="37.5" x14ac:dyDescent="0.3">
      <c r="A112" s="29" t="s">
        <v>55</v>
      </c>
      <c r="B112" s="219"/>
      <c r="C112" s="219"/>
      <c r="D112" s="10"/>
      <c r="E112" s="219" t="s">
        <v>341</v>
      </c>
      <c r="F112" s="219"/>
    </row>
    <row r="113" spans="1:10" ht="18.75" x14ac:dyDescent="0.3">
      <c r="A113" s="29"/>
      <c r="B113" s="218" t="s">
        <v>53</v>
      </c>
      <c r="C113" s="218"/>
      <c r="D113" s="10"/>
      <c r="E113" s="218" t="s">
        <v>54</v>
      </c>
      <c r="F113" s="218"/>
    </row>
    <row r="114" spans="1:10" ht="18.75" x14ac:dyDescent="0.3">
      <c r="A114" s="29"/>
      <c r="B114" s="46"/>
      <c r="C114" s="46"/>
      <c r="D114" s="10"/>
      <c r="E114" s="46"/>
      <c r="F114" s="46"/>
    </row>
    <row r="115" spans="1:10" ht="18.75" x14ac:dyDescent="0.3">
      <c r="A115" s="29" t="s">
        <v>56</v>
      </c>
      <c r="B115" s="219"/>
      <c r="C115" s="219"/>
      <c r="D115" s="10"/>
      <c r="E115" s="219" t="s">
        <v>341</v>
      </c>
      <c r="F115" s="219"/>
    </row>
    <row r="116" spans="1:10" ht="18.75" x14ac:dyDescent="0.3">
      <c r="A116" s="29"/>
      <c r="B116" s="218" t="s">
        <v>53</v>
      </c>
      <c r="C116" s="218"/>
      <c r="D116" s="10"/>
      <c r="E116" s="218" t="s">
        <v>54</v>
      </c>
      <c r="F116" s="218"/>
    </row>
    <row r="117" spans="1:10" ht="18.75" x14ac:dyDescent="0.3">
      <c r="A117" s="29" t="s">
        <v>57</v>
      </c>
      <c r="B117" s="10"/>
      <c r="C117" s="10"/>
      <c r="D117" s="10"/>
      <c r="E117" s="10"/>
      <c r="F117" s="10"/>
    </row>
    <row r="118" spans="1:10" ht="18.75" x14ac:dyDescent="0.3">
      <c r="A118" s="217" t="s">
        <v>44</v>
      </c>
      <c r="B118" s="217"/>
      <c r="C118" s="10"/>
      <c r="D118" s="10"/>
      <c r="E118" s="10"/>
      <c r="F118" s="10"/>
    </row>
    <row r="119" spans="1:10" ht="18.75" x14ac:dyDescent="0.25">
      <c r="A119" s="220" t="s">
        <v>192</v>
      </c>
      <c r="B119" s="220"/>
      <c r="C119" s="220"/>
      <c r="D119" s="220"/>
      <c r="E119" s="220"/>
      <c r="F119" s="220"/>
    </row>
    <row r="120" spans="1:10" ht="112.5" x14ac:dyDescent="0.25">
      <c r="A120" s="54" t="s">
        <v>69</v>
      </c>
      <c r="B120" s="58" t="s">
        <v>5</v>
      </c>
      <c r="C120" s="58" t="s">
        <v>5</v>
      </c>
      <c r="D120" s="5">
        <f t="shared" ref="D120:D121" si="17">E120+F120</f>
        <v>0</v>
      </c>
      <c r="E120" s="2"/>
      <c r="F120" s="4"/>
      <c r="H120" s="71" t="s">
        <v>230</v>
      </c>
      <c r="I120" s="71" t="s">
        <v>231</v>
      </c>
      <c r="J120" s="71" t="s">
        <v>232</v>
      </c>
    </row>
    <row r="121" spans="1:10" ht="18.75" x14ac:dyDescent="0.25">
      <c r="A121" s="54" t="s">
        <v>7</v>
      </c>
      <c r="B121" s="58" t="s">
        <v>5</v>
      </c>
      <c r="C121" s="58">
        <v>900</v>
      </c>
      <c r="D121" s="5">
        <f t="shared" si="17"/>
        <v>85590837.989999995</v>
      </c>
      <c r="E121" s="2">
        <f>E124+E156+E171+E203</f>
        <v>85590837.989999995</v>
      </c>
      <c r="F121" s="2">
        <f>F124+F156</f>
        <v>0</v>
      </c>
      <c r="H121" s="72">
        <f>E26+E27+E28+E30+E36+E54+E55+E56+E62+E65+E66+E67+E71+E72+E73+E74+E75+E76+E79+E80+E81+E83+E87</f>
        <v>80360093.469999999</v>
      </c>
      <c r="I121" s="72">
        <f>H121+D121</f>
        <v>165950931.45999998</v>
      </c>
      <c r="J121" s="72">
        <f>I121-E20</f>
        <v>0</v>
      </c>
    </row>
    <row r="122" spans="1:10" ht="18.75" x14ac:dyDescent="0.25">
      <c r="A122" s="54" t="s">
        <v>6</v>
      </c>
      <c r="B122" s="58"/>
      <c r="C122" s="58"/>
      <c r="D122" s="5"/>
      <c r="E122" s="2"/>
      <c r="F122" s="4"/>
    </row>
    <row r="123" spans="1:10" ht="18.75" x14ac:dyDescent="0.25">
      <c r="A123" s="221" t="s">
        <v>200</v>
      </c>
      <c r="B123" s="222"/>
      <c r="C123" s="222"/>
      <c r="D123" s="222"/>
      <c r="E123" s="222"/>
      <c r="F123" s="223"/>
    </row>
    <row r="124" spans="1:10" ht="18.75" x14ac:dyDescent="0.25">
      <c r="A124" s="54" t="s">
        <v>8</v>
      </c>
      <c r="B124" s="58" t="s">
        <v>5</v>
      </c>
      <c r="C124" s="58">
        <v>200</v>
      </c>
      <c r="D124" s="5">
        <f t="shared" ref="D124:D160" si="18">E124+F124</f>
        <v>16601007.999999998</v>
      </c>
      <c r="E124" s="2">
        <f>E126+E129+E152</f>
        <v>16601007.999999998</v>
      </c>
      <c r="F124" s="2">
        <f>F126+F129+F152</f>
        <v>0</v>
      </c>
    </row>
    <row r="125" spans="1:10" ht="18.75" x14ac:dyDescent="0.25">
      <c r="A125" s="54" t="s">
        <v>9</v>
      </c>
      <c r="B125" s="58"/>
      <c r="C125" s="58"/>
      <c r="D125" s="5"/>
      <c r="E125" s="2"/>
      <c r="F125" s="2"/>
    </row>
    <row r="126" spans="1:10" ht="75" x14ac:dyDescent="0.25">
      <c r="A126" s="54" t="s">
        <v>10</v>
      </c>
      <c r="B126" s="58" t="s">
        <v>5</v>
      </c>
      <c r="C126" s="58">
        <v>210</v>
      </c>
      <c r="D126" s="5">
        <f t="shared" si="18"/>
        <v>0</v>
      </c>
      <c r="E126" s="2">
        <f>E128</f>
        <v>0</v>
      </c>
      <c r="F126" s="2">
        <f>F128</f>
        <v>0</v>
      </c>
    </row>
    <row r="127" spans="1:10" ht="18.75" x14ac:dyDescent="0.25">
      <c r="A127" s="54" t="s">
        <v>9</v>
      </c>
      <c r="B127" s="58"/>
      <c r="C127" s="58"/>
      <c r="D127" s="5"/>
      <c r="E127" s="2"/>
      <c r="F127" s="2"/>
    </row>
    <row r="128" spans="1:10" ht="93.75" x14ac:dyDescent="0.25">
      <c r="A128" s="54" t="s">
        <v>201</v>
      </c>
      <c r="B128" s="58">
        <v>244</v>
      </c>
      <c r="C128" s="58">
        <v>214</v>
      </c>
      <c r="D128" s="5">
        <f>E128+F128</f>
        <v>0</v>
      </c>
      <c r="E128" s="2"/>
      <c r="F128" s="2"/>
    </row>
    <row r="129" spans="1:6" ht="37.5" x14ac:dyDescent="0.25">
      <c r="A129" s="54" t="s">
        <v>14</v>
      </c>
      <c r="B129" s="58" t="s">
        <v>5</v>
      </c>
      <c r="C129" s="58">
        <v>220</v>
      </c>
      <c r="D129" s="5">
        <f t="shared" si="18"/>
        <v>16601007.999999998</v>
      </c>
      <c r="E129" s="2">
        <f>E131+E132+E133+E143+E144+E147+E150</f>
        <v>16601007.999999998</v>
      </c>
      <c r="F129" s="2">
        <f>F131+F132+F133+F143+F144+F147+F150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18.75" x14ac:dyDescent="0.25">
      <c r="A131" s="54" t="s">
        <v>15</v>
      </c>
      <c r="B131" s="58">
        <v>244</v>
      </c>
      <c r="C131" s="58">
        <v>221</v>
      </c>
      <c r="D131" s="5">
        <f t="shared" si="18"/>
        <v>1389880</v>
      </c>
      <c r="E131" s="2">
        <f>2313000-923120</f>
        <v>1389880</v>
      </c>
      <c r="F131" s="2"/>
    </row>
    <row r="132" spans="1:6" ht="37.5" x14ac:dyDescent="0.25">
      <c r="A132" s="54" t="s">
        <v>16</v>
      </c>
      <c r="B132" s="58">
        <v>244</v>
      </c>
      <c r="C132" s="58">
        <v>222</v>
      </c>
      <c r="D132" s="5">
        <f t="shared" si="18"/>
        <v>0</v>
      </c>
      <c r="E132" s="2"/>
      <c r="F132" s="2"/>
    </row>
    <row r="133" spans="1:6" ht="37.5" x14ac:dyDescent="0.25">
      <c r="A133" s="54" t="s">
        <v>17</v>
      </c>
      <c r="B133" s="58" t="s">
        <v>5</v>
      </c>
      <c r="C133" s="58">
        <v>223</v>
      </c>
      <c r="D133" s="5">
        <f t="shared" si="18"/>
        <v>2</v>
      </c>
      <c r="E133" s="2">
        <f t="shared" ref="E133:F133" si="19">E135+E137+E139+E140+E141</f>
        <v>2</v>
      </c>
      <c r="F133" s="2">
        <f t="shared" si="19"/>
        <v>0</v>
      </c>
    </row>
    <row r="134" spans="1:6" ht="18.75" x14ac:dyDescent="0.25">
      <c r="A134" s="54" t="s">
        <v>6</v>
      </c>
      <c r="B134" s="58"/>
      <c r="C134" s="58"/>
      <c r="D134" s="5"/>
      <c r="E134" s="2"/>
      <c r="F134" s="2"/>
    </row>
    <row r="135" spans="1:6" ht="56.25" x14ac:dyDescent="0.25">
      <c r="A135" s="54" t="s">
        <v>18</v>
      </c>
      <c r="B135" s="58">
        <v>244</v>
      </c>
      <c r="C135" s="58">
        <v>223</v>
      </c>
      <c r="D135" s="5">
        <f t="shared" si="18"/>
        <v>0</v>
      </c>
      <c r="E135" s="2"/>
      <c r="F135" s="2"/>
    </row>
    <row r="136" spans="1:6" ht="37.5" x14ac:dyDescent="0.25">
      <c r="A136" s="201" t="s">
        <v>19</v>
      </c>
      <c r="B136" s="202">
        <v>244</v>
      </c>
      <c r="C136" s="202">
        <v>223</v>
      </c>
      <c r="D136" s="5">
        <f t="shared" ref="D136" si="20">E136+F136</f>
        <v>0</v>
      </c>
      <c r="E136" s="2">
        <v>0</v>
      </c>
      <c r="F136" s="2"/>
    </row>
    <row r="137" spans="1:6" ht="37.5" x14ac:dyDescent="0.25">
      <c r="A137" s="54" t="s">
        <v>19</v>
      </c>
      <c r="B137" s="58">
        <v>247</v>
      </c>
      <c r="C137" s="58">
        <v>223</v>
      </c>
      <c r="D137" s="5">
        <f t="shared" si="18"/>
        <v>0</v>
      </c>
      <c r="E137" s="2">
        <f>2002130.43-2002130.43</f>
        <v>0</v>
      </c>
      <c r="F137" s="2"/>
    </row>
    <row r="138" spans="1:6" ht="75" x14ac:dyDescent="0.25">
      <c r="A138" s="201" t="s">
        <v>20</v>
      </c>
      <c r="B138" s="202">
        <v>244</v>
      </c>
      <c r="C138" s="202">
        <v>223</v>
      </c>
      <c r="D138" s="5">
        <f t="shared" ref="D138" si="21">E138+F138</f>
        <v>0</v>
      </c>
      <c r="E138" s="2">
        <v>0</v>
      </c>
      <c r="F138" s="2"/>
    </row>
    <row r="139" spans="1:6" ht="75" x14ac:dyDescent="0.25">
      <c r="A139" s="54" t="s">
        <v>20</v>
      </c>
      <c r="B139" s="58">
        <v>247</v>
      </c>
      <c r="C139" s="58">
        <v>223</v>
      </c>
      <c r="D139" s="5">
        <f t="shared" si="18"/>
        <v>2</v>
      </c>
      <c r="E139" s="2">
        <f>17797082.5-17797080.5</f>
        <v>2</v>
      </c>
      <c r="F139" s="2"/>
    </row>
    <row r="140" spans="1:6" ht="75" x14ac:dyDescent="0.25">
      <c r="A140" s="54" t="s">
        <v>21</v>
      </c>
      <c r="B140" s="58">
        <v>244</v>
      </c>
      <c r="C140" s="58">
        <v>223</v>
      </c>
      <c r="D140" s="5">
        <f t="shared" si="18"/>
        <v>0</v>
      </c>
      <c r="E140" s="2">
        <f>702861.9-702861.9</f>
        <v>0</v>
      </c>
      <c r="F140" s="2"/>
    </row>
    <row r="141" spans="1:6" ht="56.25" x14ac:dyDescent="0.25">
      <c r="A141" s="54" t="s">
        <v>22</v>
      </c>
      <c r="B141" s="58">
        <v>244</v>
      </c>
      <c r="C141" s="58">
        <v>223</v>
      </c>
      <c r="D141" s="5">
        <f t="shared" si="18"/>
        <v>0</v>
      </c>
      <c r="E141" s="2">
        <f>192680.21-192680.21</f>
        <v>0</v>
      </c>
      <c r="F141" s="2"/>
    </row>
    <row r="142" spans="1:6" ht="56.25" x14ac:dyDescent="0.25">
      <c r="A142" s="195" t="s">
        <v>446</v>
      </c>
      <c r="B142" s="196">
        <v>244</v>
      </c>
      <c r="C142" s="196">
        <v>223</v>
      </c>
      <c r="D142" s="5">
        <f t="shared" ref="D142" si="22">E142+F142</f>
        <v>0</v>
      </c>
      <c r="E142" s="2">
        <v>0</v>
      </c>
      <c r="F142" s="2"/>
    </row>
    <row r="143" spans="1:6" ht="168.75" x14ac:dyDescent="0.25">
      <c r="A143" s="54" t="s">
        <v>23</v>
      </c>
      <c r="B143" s="58">
        <v>244</v>
      </c>
      <c r="C143" s="58">
        <v>224</v>
      </c>
      <c r="D143" s="5">
        <f t="shared" si="18"/>
        <v>0</v>
      </c>
      <c r="E143" s="2"/>
      <c r="F143" s="2"/>
    </row>
    <row r="144" spans="1:6" ht="56.25" x14ac:dyDescent="0.25">
      <c r="A144" s="54" t="s">
        <v>24</v>
      </c>
      <c r="B144" s="58" t="s">
        <v>5</v>
      </c>
      <c r="C144" s="58">
        <v>225</v>
      </c>
      <c r="D144" s="2">
        <f t="shared" ref="D144:F144" si="23">D145+D146</f>
        <v>8707959.9999999981</v>
      </c>
      <c r="E144" s="2">
        <f>E145+E146</f>
        <v>8707959.9999999981</v>
      </c>
      <c r="F144" s="2">
        <f t="shared" si="23"/>
        <v>0</v>
      </c>
    </row>
    <row r="145" spans="1:6" ht="18.75" x14ac:dyDescent="0.25">
      <c r="A145" s="216" t="s">
        <v>6</v>
      </c>
      <c r="B145" s="58">
        <v>243</v>
      </c>
      <c r="C145" s="58">
        <v>225</v>
      </c>
      <c r="D145" s="5">
        <f t="shared" si="18"/>
        <v>0</v>
      </c>
      <c r="E145" s="2"/>
      <c r="F145" s="2"/>
    </row>
    <row r="146" spans="1:6" ht="18.75" x14ac:dyDescent="0.25">
      <c r="A146" s="216"/>
      <c r="B146" s="58">
        <v>244</v>
      </c>
      <c r="C146" s="58">
        <v>225</v>
      </c>
      <c r="D146" s="5">
        <f t="shared" si="18"/>
        <v>8707959.9999999981</v>
      </c>
      <c r="E146" s="2">
        <f>24992701.13-15984441.13-300300</f>
        <v>8707959.9999999981</v>
      </c>
      <c r="F146" s="2"/>
    </row>
    <row r="147" spans="1:6" ht="37.5" x14ac:dyDescent="0.25">
      <c r="A147" s="54" t="s">
        <v>58</v>
      </c>
      <c r="B147" s="58" t="s">
        <v>5</v>
      </c>
      <c r="C147" s="58">
        <v>226</v>
      </c>
      <c r="D147" s="5">
        <f t="shared" si="18"/>
        <v>6503166</v>
      </c>
      <c r="E147" s="2">
        <f>E148+E149</f>
        <v>6503166</v>
      </c>
      <c r="F147" s="2">
        <f>F148+F149</f>
        <v>0</v>
      </c>
    </row>
    <row r="148" spans="1:6" ht="18.75" x14ac:dyDescent="0.25">
      <c r="A148" s="216" t="s">
        <v>6</v>
      </c>
      <c r="B148" s="58">
        <v>243</v>
      </c>
      <c r="C148" s="58">
        <v>226</v>
      </c>
      <c r="D148" s="5">
        <f t="shared" si="18"/>
        <v>0</v>
      </c>
      <c r="E148" s="2"/>
      <c r="F148" s="2"/>
    </row>
    <row r="149" spans="1:6" ht="18.75" x14ac:dyDescent="0.25">
      <c r="A149" s="216"/>
      <c r="B149" s="58">
        <v>244</v>
      </c>
      <c r="C149" s="58">
        <v>226</v>
      </c>
      <c r="D149" s="5">
        <f t="shared" si="18"/>
        <v>6503166</v>
      </c>
      <c r="E149" s="2">
        <f>6545600-14240-28194</f>
        <v>6503166</v>
      </c>
      <c r="F149" s="2"/>
    </row>
    <row r="150" spans="1:6" ht="18.75" x14ac:dyDescent="0.25">
      <c r="A150" s="54" t="s">
        <v>25</v>
      </c>
      <c r="B150" s="58">
        <v>244</v>
      </c>
      <c r="C150" s="58">
        <v>227</v>
      </c>
      <c r="D150" s="5">
        <f t="shared" si="18"/>
        <v>0</v>
      </c>
      <c r="E150" s="2"/>
      <c r="F150" s="2"/>
    </row>
    <row r="151" spans="1:6" ht="56.25" x14ac:dyDescent="0.25">
      <c r="A151" s="170" t="s">
        <v>346</v>
      </c>
      <c r="B151" s="171">
        <v>244</v>
      </c>
      <c r="C151" s="171">
        <v>228</v>
      </c>
      <c r="D151" s="5">
        <f t="shared" si="18"/>
        <v>0</v>
      </c>
      <c r="E151" s="2"/>
      <c r="F151" s="2"/>
    </row>
    <row r="152" spans="1:6" ht="18.75" x14ac:dyDescent="0.25">
      <c r="A152" s="54" t="s">
        <v>30</v>
      </c>
      <c r="B152" s="58" t="s">
        <v>5</v>
      </c>
      <c r="C152" s="58">
        <v>290</v>
      </c>
      <c r="D152" s="5">
        <f t="shared" si="18"/>
        <v>0</v>
      </c>
      <c r="E152" s="2">
        <f>E154+E155</f>
        <v>0</v>
      </c>
      <c r="F152" s="2">
        <f>F154+F155</f>
        <v>0</v>
      </c>
    </row>
    <row r="153" spans="1:6" ht="18.75" x14ac:dyDescent="0.25">
      <c r="A153" s="54" t="s">
        <v>9</v>
      </c>
      <c r="B153" s="58"/>
      <c r="C153" s="58"/>
      <c r="D153" s="5">
        <f t="shared" si="18"/>
        <v>0</v>
      </c>
      <c r="E153" s="2"/>
      <c r="F153" s="2"/>
    </row>
    <row r="154" spans="1:6" ht="56.25" x14ac:dyDescent="0.25">
      <c r="A154" s="54" t="s">
        <v>34</v>
      </c>
      <c r="B154" s="58">
        <v>244</v>
      </c>
      <c r="C154" s="58">
        <v>296</v>
      </c>
      <c r="D154" s="5">
        <f t="shared" si="18"/>
        <v>0</v>
      </c>
      <c r="E154" s="2"/>
      <c r="F154" s="2"/>
    </row>
    <row r="155" spans="1:6" ht="56.25" x14ac:dyDescent="0.25">
      <c r="A155" s="54" t="s">
        <v>35</v>
      </c>
      <c r="B155" s="58">
        <v>244</v>
      </c>
      <c r="C155" s="58">
        <v>297</v>
      </c>
      <c r="D155" s="5">
        <f t="shared" si="18"/>
        <v>0</v>
      </c>
      <c r="E155" s="2"/>
      <c r="F155" s="2"/>
    </row>
    <row r="156" spans="1:6" ht="56.25" x14ac:dyDescent="0.25">
      <c r="A156" s="54" t="s">
        <v>59</v>
      </c>
      <c r="B156" s="58" t="s">
        <v>5</v>
      </c>
      <c r="C156" s="58">
        <v>300</v>
      </c>
      <c r="D156" s="5">
        <f t="shared" si="18"/>
        <v>244800</v>
      </c>
      <c r="E156" s="2">
        <f>E158+E160+E159</f>
        <v>244800</v>
      </c>
      <c r="F156" s="2">
        <f>F158+F160+F159</f>
        <v>0</v>
      </c>
    </row>
    <row r="157" spans="1:6" ht="18.75" x14ac:dyDescent="0.25">
      <c r="A157" s="54" t="s">
        <v>9</v>
      </c>
      <c r="B157" s="58"/>
      <c r="C157" s="58"/>
      <c r="D157" s="5"/>
      <c r="E157" s="2"/>
      <c r="F157" s="2"/>
    </row>
    <row r="158" spans="1:6" ht="56.25" x14ac:dyDescent="0.25">
      <c r="A158" s="54" t="s">
        <v>36</v>
      </c>
      <c r="B158" s="58">
        <v>244</v>
      </c>
      <c r="C158" s="58">
        <v>310</v>
      </c>
      <c r="D158" s="5">
        <f t="shared" si="18"/>
        <v>0</v>
      </c>
      <c r="E158" s="2"/>
      <c r="F158" s="2"/>
    </row>
    <row r="159" spans="1:6" ht="75" x14ac:dyDescent="0.25">
      <c r="A159" s="54" t="s">
        <v>68</v>
      </c>
      <c r="B159" s="58">
        <v>244</v>
      </c>
      <c r="C159" s="58">
        <v>320</v>
      </c>
      <c r="D159" s="5">
        <f t="shared" si="18"/>
        <v>0</v>
      </c>
      <c r="E159" s="2"/>
      <c r="F159" s="2"/>
    </row>
    <row r="160" spans="1:6" ht="75" x14ac:dyDescent="0.25">
      <c r="A160" s="54" t="s">
        <v>60</v>
      </c>
      <c r="B160" s="58" t="s">
        <v>5</v>
      </c>
      <c r="C160" s="58">
        <v>340</v>
      </c>
      <c r="D160" s="5">
        <f t="shared" si="18"/>
        <v>244800</v>
      </c>
      <c r="E160" s="2">
        <f>E162+E163+E164+E165+E166+E167+E168+E169</f>
        <v>244800</v>
      </c>
      <c r="F160" s="2">
        <f>F162+F163+F164+F165+F166+F167+F169</f>
        <v>0</v>
      </c>
    </row>
    <row r="161" spans="1:6" ht="18.75" x14ac:dyDescent="0.25">
      <c r="A161" s="54" t="s">
        <v>6</v>
      </c>
      <c r="B161" s="58"/>
      <c r="C161" s="58"/>
      <c r="D161" s="5"/>
      <c r="E161" s="2"/>
      <c r="F161" s="2"/>
    </row>
    <row r="162" spans="1:6" ht="131.25" x14ac:dyDescent="0.25">
      <c r="A162" s="54" t="s">
        <v>37</v>
      </c>
      <c r="B162" s="58">
        <v>244</v>
      </c>
      <c r="C162" s="58">
        <v>341</v>
      </c>
      <c r="D162" s="5">
        <f t="shared" ref="D162:D169" si="24">E162+F162</f>
        <v>0</v>
      </c>
      <c r="E162" s="2"/>
      <c r="F162" s="2"/>
    </row>
    <row r="163" spans="1:6" ht="56.25" x14ac:dyDescent="0.25">
      <c r="A163" s="54" t="s">
        <v>38</v>
      </c>
      <c r="B163" s="58">
        <v>244</v>
      </c>
      <c r="C163" s="58">
        <v>342</v>
      </c>
      <c r="D163" s="5">
        <f t="shared" si="24"/>
        <v>0</v>
      </c>
      <c r="E163" s="2"/>
      <c r="F163" s="2"/>
    </row>
    <row r="164" spans="1:6" ht="75" x14ac:dyDescent="0.25">
      <c r="A164" s="54" t="s">
        <v>39</v>
      </c>
      <c r="B164" s="58">
        <v>244</v>
      </c>
      <c r="C164" s="58">
        <v>343</v>
      </c>
      <c r="D164" s="5">
        <f t="shared" si="24"/>
        <v>244800</v>
      </c>
      <c r="E164" s="2">
        <v>244800</v>
      </c>
      <c r="F164" s="2"/>
    </row>
    <row r="165" spans="1:6" ht="75" x14ac:dyDescent="0.25">
      <c r="A165" s="54" t="s">
        <v>40</v>
      </c>
      <c r="B165" s="58">
        <v>244</v>
      </c>
      <c r="C165" s="58">
        <v>344</v>
      </c>
      <c r="D165" s="5">
        <f t="shared" si="24"/>
        <v>0</v>
      </c>
      <c r="E165" s="2"/>
      <c r="F165" s="2"/>
    </row>
    <row r="166" spans="1:6" ht="56.25" x14ac:dyDescent="0.25">
      <c r="A166" s="54" t="s">
        <v>41</v>
      </c>
      <c r="B166" s="58">
        <v>244</v>
      </c>
      <c r="C166" s="58">
        <v>345</v>
      </c>
      <c r="D166" s="5">
        <f t="shared" si="24"/>
        <v>0</v>
      </c>
      <c r="E166" s="2"/>
      <c r="F166" s="2"/>
    </row>
    <row r="167" spans="1:6" ht="75" x14ac:dyDescent="0.25">
      <c r="A167" s="54" t="s">
        <v>42</v>
      </c>
      <c r="B167" s="58">
        <v>244</v>
      </c>
      <c r="C167" s="58">
        <v>346</v>
      </c>
      <c r="D167" s="5">
        <f>E167+F167</f>
        <v>0</v>
      </c>
      <c r="E167" s="2"/>
      <c r="F167" s="2"/>
    </row>
    <row r="168" spans="1:6" ht="112.5" x14ac:dyDescent="0.25">
      <c r="A168" s="170" t="s">
        <v>347</v>
      </c>
      <c r="B168" s="171">
        <v>244</v>
      </c>
      <c r="C168" s="171">
        <v>347</v>
      </c>
      <c r="D168" s="5">
        <f>E168+F168</f>
        <v>0</v>
      </c>
      <c r="E168" s="2"/>
      <c r="F168" s="2"/>
    </row>
    <row r="169" spans="1:6" ht="112.5" x14ac:dyDescent="0.25">
      <c r="A169" s="54" t="s">
        <v>43</v>
      </c>
      <c r="B169" s="58">
        <v>244</v>
      </c>
      <c r="C169" s="58">
        <v>349</v>
      </c>
      <c r="D169" s="5">
        <f t="shared" si="24"/>
        <v>0</v>
      </c>
      <c r="E169" s="2"/>
      <c r="F169" s="2"/>
    </row>
    <row r="170" spans="1:6" ht="18.75" x14ac:dyDescent="0.25">
      <c r="A170" s="221" t="s">
        <v>202</v>
      </c>
      <c r="B170" s="222"/>
      <c r="C170" s="222"/>
      <c r="D170" s="222"/>
      <c r="E170" s="222"/>
      <c r="F170" s="223"/>
    </row>
    <row r="171" spans="1:6" ht="18.75" x14ac:dyDescent="0.25">
      <c r="A171" s="54" t="s">
        <v>8</v>
      </c>
      <c r="B171" s="58" t="s">
        <v>5</v>
      </c>
      <c r="C171" s="58">
        <v>200</v>
      </c>
      <c r="D171" s="5">
        <f t="shared" ref="D171" si="25">E171+F171</f>
        <v>58830026.549999997</v>
      </c>
      <c r="E171" s="2">
        <f>E173+E176+E199</f>
        <v>58830026.549999997</v>
      </c>
      <c r="F171" s="2">
        <f>F173+F176+F199</f>
        <v>0</v>
      </c>
    </row>
    <row r="172" spans="1:6" ht="18.75" x14ac:dyDescent="0.25">
      <c r="A172" s="54" t="s">
        <v>9</v>
      </c>
      <c r="B172" s="58"/>
      <c r="C172" s="58"/>
      <c r="D172" s="5"/>
      <c r="E172" s="2"/>
      <c r="F172" s="2"/>
    </row>
    <row r="173" spans="1:6" ht="75" x14ac:dyDescent="0.25">
      <c r="A173" s="54" t="s">
        <v>10</v>
      </c>
      <c r="B173" s="58" t="s">
        <v>5</v>
      </c>
      <c r="C173" s="58">
        <v>210</v>
      </c>
      <c r="D173" s="5">
        <f t="shared" ref="D173" si="26">E173+F173</f>
        <v>0</v>
      </c>
      <c r="E173" s="2">
        <f>E175</f>
        <v>0</v>
      </c>
      <c r="F173" s="2">
        <f>F175</f>
        <v>0</v>
      </c>
    </row>
    <row r="174" spans="1:6" ht="18.75" x14ac:dyDescent="0.25">
      <c r="A174" s="54" t="s">
        <v>9</v>
      </c>
      <c r="B174" s="58"/>
      <c r="C174" s="58"/>
      <c r="D174" s="5"/>
      <c r="E174" s="2"/>
      <c r="F174" s="2"/>
    </row>
    <row r="175" spans="1:6" ht="93.75" x14ac:dyDescent="0.25">
      <c r="A175" s="54" t="s">
        <v>201</v>
      </c>
      <c r="B175" s="58">
        <v>244</v>
      </c>
      <c r="C175" s="58">
        <v>214</v>
      </c>
      <c r="D175" s="5">
        <f>E175+F175</f>
        <v>0</v>
      </c>
      <c r="E175" s="70">
        <f>E31-E128</f>
        <v>0</v>
      </c>
      <c r="F175" s="2"/>
    </row>
    <row r="176" spans="1:6" ht="37.5" x14ac:dyDescent="0.25">
      <c r="A176" s="54" t="s">
        <v>14</v>
      </c>
      <c r="B176" s="58" t="s">
        <v>5</v>
      </c>
      <c r="C176" s="58">
        <v>220</v>
      </c>
      <c r="D176" s="5">
        <f t="shared" ref="D176" si="27">E176+F176</f>
        <v>58830026.549999997</v>
      </c>
      <c r="E176" s="2">
        <f>E178+E179+E180+E190+E191+E194+E197</f>
        <v>58830026.549999997</v>
      </c>
      <c r="F176" s="2">
        <f>F178+F179+F180+F190+F191+F194+F197</f>
        <v>0</v>
      </c>
    </row>
    <row r="177" spans="1:6" ht="18.75" x14ac:dyDescent="0.25">
      <c r="A177" s="54" t="s">
        <v>9</v>
      </c>
      <c r="B177" s="58"/>
      <c r="C177" s="58"/>
      <c r="D177" s="5"/>
      <c r="E177" s="2"/>
      <c r="F177" s="2"/>
    </row>
    <row r="178" spans="1:6" ht="18.75" x14ac:dyDescent="0.25">
      <c r="A178" s="54" t="s">
        <v>15</v>
      </c>
      <c r="B178" s="58">
        <v>244</v>
      </c>
      <c r="C178" s="58">
        <v>221</v>
      </c>
      <c r="D178" s="5">
        <f t="shared" ref="D178:D180" si="28">E178+F178</f>
        <v>1029684.23</v>
      </c>
      <c r="E178" s="2">
        <f>E34-E131</f>
        <v>1029684.23</v>
      </c>
      <c r="F178" s="2"/>
    </row>
    <row r="179" spans="1:6" ht="37.5" x14ac:dyDescent="0.25">
      <c r="A179" s="54" t="s">
        <v>16</v>
      </c>
      <c r="B179" s="58">
        <v>244</v>
      </c>
      <c r="C179" s="58">
        <v>222</v>
      </c>
      <c r="D179" s="5">
        <f t="shared" si="28"/>
        <v>0</v>
      </c>
      <c r="E179" s="70">
        <f>E37-E132</f>
        <v>0</v>
      </c>
      <c r="F179" s="2"/>
    </row>
    <row r="180" spans="1:6" ht="37.5" x14ac:dyDescent="0.25">
      <c r="A180" s="54" t="s">
        <v>17</v>
      </c>
      <c r="B180" s="58" t="s">
        <v>5</v>
      </c>
      <c r="C180" s="58">
        <v>223</v>
      </c>
      <c r="D180" s="5">
        <f t="shared" si="28"/>
        <v>38489201.359999999</v>
      </c>
      <c r="E180" s="2">
        <f t="shared" ref="E180:F180" si="29">E182+E184+E186+E187+E188</f>
        <v>38489201.359999999</v>
      </c>
      <c r="F180" s="2">
        <f t="shared" si="29"/>
        <v>0</v>
      </c>
    </row>
    <row r="181" spans="1:6" ht="18.75" x14ac:dyDescent="0.25">
      <c r="A181" s="54" t="s">
        <v>6</v>
      </c>
      <c r="B181" s="58"/>
      <c r="C181" s="58"/>
      <c r="D181" s="5"/>
      <c r="E181" s="2"/>
      <c r="F181" s="2"/>
    </row>
    <row r="182" spans="1:6" ht="56.25" x14ac:dyDescent="0.25">
      <c r="A182" s="54" t="s">
        <v>18</v>
      </c>
      <c r="B182" s="58">
        <v>244</v>
      </c>
      <c r="C182" s="58">
        <v>223</v>
      </c>
      <c r="D182" s="5">
        <f t="shared" ref="D182:D190" si="30">E182+F182</f>
        <v>0</v>
      </c>
      <c r="E182" s="2">
        <f t="shared" ref="E182:E190" si="31">E41-E135</f>
        <v>0</v>
      </c>
      <c r="F182" s="2"/>
    </row>
    <row r="183" spans="1:6" ht="37.5" x14ac:dyDescent="0.25">
      <c r="A183" s="201" t="s">
        <v>19</v>
      </c>
      <c r="B183" s="202">
        <v>244</v>
      </c>
      <c r="C183" s="202">
        <v>223</v>
      </c>
      <c r="D183" s="5">
        <f t="shared" ref="D183" si="32">E183+F183</f>
        <v>0</v>
      </c>
      <c r="E183" s="2">
        <f t="shared" si="31"/>
        <v>0</v>
      </c>
      <c r="F183" s="2"/>
    </row>
    <row r="184" spans="1:6" ht="37.5" x14ac:dyDescent="0.25">
      <c r="A184" s="54" t="s">
        <v>19</v>
      </c>
      <c r="B184" s="58">
        <v>247</v>
      </c>
      <c r="C184" s="58">
        <v>223</v>
      </c>
      <c r="D184" s="5">
        <f t="shared" si="30"/>
        <v>3890688.38</v>
      </c>
      <c r="E184" s="2">
        <f t="shared" si="31"/>
        <v>3890688.38</v>
      </c>
      <c r="F184" s="2"/>
    </row>
    <row r="185" spans="1:6" ht="75" x14ac:dyDescent="0.25">
      <c r="A185" s="201" t="s">
        <v>20</v>
      </c>
      <c r="B185" s="202">
        <v>244</v>
      </c>
      <c r="C185" s="202">
        <v>223</v>
      </c>
      <c r="D185" s="5">
        <f t="shared" ref="D185" si="33">E185+F185</f>
        <v>0</v>
      </c>
      <c r="E185" s="2">
        <f t="shared" si="31"/>
        <v>0</v>
      </c>
      <c r="F185" s="2"/>
    </row>
    <row r="186" spans="1:6" ht="75" x14ac:dyDescent="0.25">
      <c r="A186" s="54" t="s">
        <v>20</v>
      </c>
      <c r="B186" s="58">
        <v>247</v>
      </c>
      <c r="C186" s="58">
        <v>223</v>
      </c>
      <c r="D186" s="5">
        <f t="shared" si="30"/>
        <v>27315315.02</v>
      </c>
      <c r="E186" s="2">
        <f t="shared" si="31"/>
        <v>27315315.02</v>
      </c>
      <c r="F186" s="2"/>
    </row>
    <row r="187" spans="1:6" ht="75" x14ac:dyDescent="0.25">
      <c r="A187" s="54" t="s">
        <v>21</v>
      </c>
      <c r="B187" s="58">
        <v>244</v>
      </c>
      <c r="C187" s="58">
        <v>223</v>
      </c>
      <c r="D187" s="5">
        <f t="shared" si="30"/>
        <v>6693716.8600000003</v>
      </c>
      <c r="E187" s="2">
        <f t="shared" si="31"/>
        <v>6693716.8600000003</v>
      </c>
      <c r="F187" s="2"/>
    </row>
    <row r="188" spans="1:6" ht="56.25" x14ac:dyDescent="0.25">
      <c r="A188" s="54" t="s">
        <v>22</v>
      </c>
      <c r="B188" s="58">
        <v>244</v>
      </c>
      <c r="C188" s="58">
        <v>223</v>
      </c>
      <c r="D188" s="5">
        <f t="shared" si="30"/>
        <v>589481.1</v>
      </c>
      <c r="E188" s="2">
        <f t="shared" si="31"/>
        <v>589481.1</v>
      </c>
      <c r="F188" s="2"/>
    </row>
    <row r="189" spans="1:6" ht="56.25" x14ac:dyDescent="0.25">
      <c r="A189" s="195" t="s">
        <v>446</v>
      </c>
      <c r="B189" s="196">
        <v>244</v>
      </c>
      <c r="C189" s="196">
        <v>223</v>
      </c>
      <c r="D189" s="5">
        <f t="shared" ref="D189" si="34">E189+F189</f>
        <v>30244.85</v>
      </c>
      <c r="E189" s="2">
        <f t="shared" si="31"/>
        <v>30244.85</v>
      </c>
      <c r="F189" s="2"/>
    </row>
    <row r="190" spans="1:6" ht="168.75" x14ac:dyDescent="0.25">
      <c r="A190" s="54" t="s">
        <v>23</v>
      </c>
      <c r="B190" s="58">
        <v>244</v>
      </c>
      <c r="C190" s="58">
        <v>224</v>
      </c>
      <c r="D190" s="5">
        <f t="shared" si="30"/>
        <v>0</v>
      </c>
      <c r="E190" s="2">
        <f t="shared" si="31"/>
        <v>0</v>
      </c>
      <c r="F190" s="2"/>
    </row>
    <row r="191" spans="1:6" ht="56.25" x14ac:dyDescent="0.25">
      <c r="A191" s="54" t="s">
        <v>24</v>
      </c>
      <c r="B191" s="58" t="s">
        <v>5</v>
      </c>
      <c r="C191" s="58">
        <v>225</v>
      </c>
      <c r="D191" s="2">
        <f t="shared" ref="D191" si="35">D192+D193</f>
        <v>16678294.550000003</v>
      </c>
      <c r="E191" s="2">
        <f>E192+E193</f>
        <v>16678294.550000003</v>
      </c>
      <c r="F191" s="2">
        <f t="shared" ref="F191" si="36">F192+F193</f>
        <v>0</v>
      </c>
    </row>
    <row r="192" spans="1:6" ht="18.75" x14ac:dyDescent="0.25">
      <c r="A192" s="216" t="s">
        <v>6</v>
      </c>
      <c r="B192" s="58">
        <v>243</v>
      </c>
      <c r="C192" s="58">
        <v>225</v>
      </c>
      <c r="D192" s="5">
        <f t="shared" ref="D192:D203" si="37">E192+F192</f>
        <v>0</v>
      </c>
      <c r="E192" s="2">
        <f>E51-E145</f>
        <v>0</v>
      </c>
      <c r="F192" s="2"/>
    </row>
    <row r="193" spans="1:6" ht="18.75" x14ac:dyDescent="0.25">
      <c r="A193" s="216"/>
      <c r="B193" s="58">
        <v>244</v>
      </c>
      <c r="C193" s="58">
        <v>225</v>
      </c>
      <c r="D193" s="5">
        <f t="shared" si="37"/>
        <v>16678294.550000003</v>
      </c>
      <c r="E193" s="2">
        <f>E52-E146</f>
        <v>16678294.550000003</v>
      </c>
      <c r="F193" s="2"/>
    </row>
    <row r="194" spans="1:6" ht="37.5" x14ac:dyDescent="0.25">
      <c r="A194" s="54" t="s">
        <v>58</v>
      </c>
      <c r="B194" s="58" t="s">
        <v>5</v>
      </c>
      <c r="C194" s="58">
        <v>226</v>
      </c>
      <c r="D194" s="5">
        <f t="shared" si="37"/>
        <v>2626878.7899999991</v>
      </c>
      <c r="E194" s="2">
        <f>E195+E196</f>
        <v>2626878.7899999991</v>
      </c>
      <c r="F194" s="2">
        <f>F195+F196</f>
        <v>0</v>
      </c>
    </row>
    <row r="195" spans="1:6" ht="18.75" x14ac:dyDescent="0.25">
      <c r="A195" s="216" t="s">
        <v>6</v>
      </c>
      <c r="B195" s="58">
        <v>243</v>
      </c>
      <c r="C195" s="58">
        <v>226</v>
      </c>
      <c r="D195" s="5">
        <f t="shared" si="37"/>
        <v>0</v>
      </c>
      <c r="E195" s="2">
        <f>E57-E148</f>
        <v>0</v>
      </c>
      <c r="F195" s="2"/>
    </row>
    <row r="196" spans="1:6" ht="18.75" x14ac:dyDescent="0.25">
      <c r="A196" s="216"/>
      <c r="B196" s="58">
        <v>244</v>
      </c>
      <c r="C196" s="58">
        <v>226</v>
      </c>
      <c r="D196" s="5">
        <f t="shared" si="37"/>
        <v>2626878.7899999991</v>
      </c>
      <c r="E196" s="2">
        <f>E58-E149</f>
        <v>2626878.7899999991</v>
      </c>
      <c r="F196" s="2"/>
    </row>
    <row r="197" spans="1:6" ht="18.75" x14ac:dyDescent="0.25">
      <c r="A197" s="54" t="s">
        <v>25</v>
      </c>
      <c r="B197" s="58">
        <v>244</v>
      </c>
      <c r="C197" s="58">
        <v>227</v>
      </c>
      <c r="D197" s="5">
        <f t="shared" si="37"/>
        <v>5967.62</v>
      </c>
      <c r="E197" s="2">
        <f>E59-E150</f>
        <v>5967.62</v>
      </c>
      <c r="F197" s="2"/>
    </row>
    <row r="198" spans="1:6" ht="56.25" x14ac:dyDescent="0.25">
      <c r="A198" s="170" t="s">
        <v>346</v>
      </c>
      <c r="B198" s="171">
        <v>244</v>
      </c>
      <c r="C198" s="171">
        <v>228</v>
      </c>
      <c r="D198" s="5">
        <f t="shared" si="37"/>
        <v>0</v>
      </c>
      <c r="E198" s="2">
        <f>E60-E151</f>
        <v>0</v>
      </c>
      <c r="F198" s="2"/>
    </row>
    <row r="199" spans="1:6" ht="18.75" x14ac:dyDescent="0.25">
      <c r="A199" s="54" t="s">
        <v>30</v>
      </c>
      <c r="B199" s="58" t="s">
        <v>5</v>
      </c>
      <c r="C199" s="58">
        <v>290</v>
      </c>
      <c r="D199" s="5">
        <f t="shared" si="37"/>
        <v>0</v>
      </c>
      <c r="E199" s="2">
        <f>E201+E202</f>
        <v>0</v>
      </c>
      <c r="F199" s="2">
        <f>F201+F202</f>
        <v>0</v>
      </c>
    </row>
    <row r="200" spans="1:6" ht="18.75" x14ac:dyDescent="0.25">
      <c r="A200" s="54" t="s">
        <v>9</v>
      </c>
      <c r="B200" s="58"/>
      <c r="C200" s="58"/>
      <c r="D200" s="5">
        <f t="shared" si="37"/>
        <v>0</v>
      </c>
      <c r="E200" s="2"/>
      <c r="F200" s="2"/>
    </row>
    <row r="201" spans="1:6" ht="56.25" x14ac:dyDescent="0.25">
      <c r="A201" s="54" t="s">
        <v>34</v>
      </c>
      <c r="B201" s="58">
        <v>244</v>
      </c>
      <c r="C201" s="58">
        <v>296</v>
      </c>
      <c r="D201" s="5">
        <f t="shared" si="37"/>
        <v>0</v>
      </c>
      <c r="E201" s="2">
        <f>E78-E154</f>
        <v>0</v>
      </c>
      <c r="F201" s="2"/>
    </row>
    <row r="202" spans="1:6" ht="56.25" x14ac:dyDescent="0.25">
      <c r="A202" s="54" t="s">
        <v>35</v>
      </c>
      <c r="B202" s="58">
        <v>244</v>
      </c>
      <c r="C202" s="58">
        <v>297</v>
      </c>
      <c r="D202" s="5">
        <f t="shared" si="37"/>
        <v>0</v>
      </c>
      <c r="E202" s="2">
        <f>E85-E155</f>
        <v>0</v>
      </c>
      <c r="F202" s="2"/>
    </row>
    <row r="203" spans="1:6" ht="56.25" x14ac:dyDescent="0.25">
      <c r="A203" s="54" t="s">
        <v>59</v>
      </c>
      <c r="B203" s="58" t="s">
        <v>5</v>
      </c>
      <c r="C203" s="58">
        <v>300</v>
      </c>
      <c r="D203" s="5">
        <f t="shared" si="37"/>
        <v>9915003.4399999995</v>
      </c>
      <c r="E203" s="2">
        <f>E205+E207+E206</f>
        <v>9915003.4399999995</v>
      </c>
      <c r="F203" s="2">
        <f>F205+F207+F206</f>
        <v>0</v>
      </c>
    </row>
    <row r="204" spans="1:6" ht="18.75" x14ac:dyDescent="0.25">
      <c r="A204" s="54" t="s">
        <v>9</v>
      </c>
      <c r="B204" s="58"/>
      <c r="C204" s="58"/>
      <c r="D204" s="5"/>
      <c r="E204" s="2"/>
      <c r="F204" s="2"/>
    </row>
    <row r="205" spans="1:6" ht="56.25" x14ac:dyDescent="0.25">
      <c r="A205" s="54" t="s">
        <v>36</v>
      </c>
      <c r="B205" s="58">
        <v>244</v>
      </c>
      <c r="C205" s="58">
        <v>310</v>
      </c>
      <c r="D205" s="5">
        <f t="shared" ref="D205:D207" si="38">E205+F205</f>
        <v>0</v>
      </c>
      <c r="E205" s="2">
        <f>E90-E158</f>
        <v>0</v>
      </c>
      <c r="F205" s="2"/>
    </row>
    <row r="206" spans="1:6" ht="75" x14ac:dyDescent="0.25">
      <c r="A206" s="54" t="s">
        <v>68</v>
      </c>
      <c r="B206" s="58">
        <v>244</v>
      </c>
      <c r="C206" s="58">
        <v>320</v>
      </c>
      <c r="D206" s="5">
        <f t="shared" si="38"/>
        <v>0</v>
      </c>
      <c r="E206" s="2">
        <f>E91-E159</f>
        <v>0</v>
      </c>
      <c r="F206" s="2"/>
    </row>
    <row r="207" spans="1:6" ht="75" x14ac:dyDescent="0.25">
      <c r="A207" s="54" t="s">
        <v>60</v>
      </c>
      <c r="B207" s="58" t="s">
        <v>5</v>
      </c>
      <c r="C207" s="58">
        <v>340</v>
      </c>
      <c r="D207" s="5">
        <f t="shared" si="38"/>
        <v>9915003.4399999995</v>
      </c>
      <c r="E207" s="2">
        <f>E209+E210+E211+E212+E213+E214+E215+E216</f>
        <v>9915003.4399999995</v>
      </c>
      <c r="F207" s="2">
        <f>F209+F210+F211+F212+F213+F214+F216</f>
        <v>0</v>
      </c>
    </row>
    <row r="208" spans="1:6" ht="18.75" x14ac:dyDescent="0.25">
      <c r="A208" s="54" t="s">
        <v>6</v>
      </c>
      <c r="B208" s="58"/>
      <c r="C208" s="58"/>
      <c r="D208" s="5"/>
      <c r="E208" s="2"/>
      <c r="F208" s="2"/>
    </row>
    <row r="209" spans="1:6" ht="131.25" x14ac:dyDescent="0.25">
      <c r="A209" s="54" t="s">
        <v>37</v>
      </c>
      <c r="B209" s="58">
        <v>244</v>
      </c>
      <c r="C209" s="58">
        <v>341</v>
      </c>
      <c r="D209" s="5">
        <f t="shared" ref="D209:D216" si="39">E209+F209</f>
        <v>0</v>
      </c>
      <c r="E209" s="2">
        <f t="shared" ref="E209:E215" si="40">E94-E162</f>
        <v>0</v>
      </c>
      <c r="F209" s="2"/>
    </row>
    <row r="210" spans="1:6" ht="56.25" x14ac:dyDescent="0.25">
      <c r="A210" s="54" t="s">
        <v>38</v>
      </c>
      <c r="B210" s="58">
        <v>244</v>
      </c>
      <c r="C210" s="58">
        <v>342</v>
      </c>
      <c r="D210" s="5">
        <f t="shared" si="39"/>
        <v>0</v>
      </c>
      <c r="E210" s="2">
        <f t="shared" si="40"/>
        <v>0</v>
      </c>
      <c r="F210" s="2"/>
    </row>
    <row r="211" spans="1:6" ht="75" x14ac:dyDescent="0.25">
      <c r="A211" s="54" t="s">
        <v>39</v>
      </c>
      <c r="B211" s="58">
        <v>244</v>
      </c>
      <c r="C211" s="58">
        <v>343</v>
      </c>
      <c r="D211" s="5">
        <f t="shared" si="39"/>
        <v>89594.609999999986</v>
      </c>
      <c r="E211" s="2">
        <f t="shared" si="40"/>
        <v>89594.609999999986</v>
      </c>
      <c r="F211" s="2"/>
    </row>
    <row r="212" spans="1:6" ht="75" x14ac:dyDescent="0.25">
      <c r="A212" s="54" t="s">
        <v>40</v>
      </c>
      <c r="B212" s="58">
        <v>244</v>
      </c>
      <c r="C212" s="58">
        <v>344</v>
      </c>
      <c r="D212" s="5">
        <f t="shared" si="39"/>
        <v>224794.3</v>
      </c>
      <c r="E212" s="2">
        <f t="shared" si="40"/>
        <v>224794.3</v>
      </c>
      <c r="F212" s="2"/>
    </row>
    <row r="213" spans="1:6" ht="56.25" x14ac:dyDescent="0.25">
      <c r="A213" s="54" t="s">
        <v>41</v>
      </c>
      <c r="B213" s="58">
        <v>244</v>
      </c>
      <c r="C213" s="58">
        <v>345</v>
      </c>
      <c r="D213" s="5">
        <f t="shared" si="39"/>
        <v>844795</v>
      </c>
      <c r="E213" s="2">
        <f t="shared" si="40"/>
        <v>844795</v>
      </c>
      <c r="F213" s="2"/>
    </row>
    <row r="214" spans="1:6" ht="75" x14ac:dyDescent="0.25">
      <c r="A214" s="54" t="s">
        <v>42</v>
      </c>
      <c r="B214" s="58">
        <v>244</v>
      </c>
      <c r="C214" s="58">
        <v>346</v>
      </c>
      <c r="D214" s="5">
        <f>E214+F214</f>
        <v>8687119.5299999993</v>
      </c>
      <c r="E214" s="2">
        <f t="shared" si="40"/>
        <v>8687119.5299999993</v>
      </c>
      <c r="F214" s="2"/>
    </row>
    <row r="215" spans="1:6" ht="112.5" x14ac:dyDescent="0.25">
      <c r="A215" s="170" t="s">
        <v>347</v>
      </c>
      <c r="B215" s="171">
        <v>244</v>
      </c>
      <c r="C215" s="171">
        <v>347</v>
      </c>
      <c r="D215" s="5">
        <f>E215+F215</f>
        <v>0</v>
      </c>
      <c r="E215" s="2">
        <f t="shared" si="40"/>
        <v>0</v>
      </c>
      <c r="F215" s="2"/>
    </row>
    <row r="216" spans="1:6" ht="112.5" x14ac:dyDescent="0.25">
      <c r="A216" s="54" t="s">
        <v>43</v>
      </c>
      <c r="B216" s="58">
        <v>244</v>
      </c>
      <c r="C216" s="58">
        <v>349</v>
      </c>
      <c r="D216" s="5">
        <f t="shared" si="39"/>
        <v>68700</v>
      </c>
      <c r="E216" s="2">
        <f t="shared" ref="E216" si="41">E101-E169</f>
        <v>68700</v>
      </c>
      <c r="F216" s="2"/>
    </row>
  </sheetData>
  <mergeCells count="35">
    <mergeCell ref="D5:D6"/>
    <mergeCell ref="E5:F5"/>
    <mergeCell ref="A1:F1"/>
    <mergeCell ref="A2:F2"/>
    <mergeCell ref="A78:A83"/>
    <mergeCell ref="A85:A87"/>
    <mergeCell ref="B109:C109"/>
    <mergeCell ref="A5:A6"/>
    <mergeCell ref="B5:B6"/>
    <mergeCell ref="C5:C6"/>
    <mergeCell ref="A36:A37"/>
    <mergeCell ref="A51:A52"/>
    <mergeCell ref="A54:A58"/>
    <mergeCell ref="A65:A66"/>
    <mergeCell ref="A71:A73"/>
    <mergeCell ref="A30:A31"/>
    <mergeCell ref="E109:F109"/>
    <mergeCell ref="B110:C110"/>
    <mergeCell ref="E110:F110"/>
    <mergeCell ref="B112:C112"/>
    <mergeCell ref="E112:F112"/>
    <mergeCell ref="A192:A193"/>
    <mergeCell ref="A195:A196"/>
    <mergeCell ref="A118:B118"/>
    <mergeCell ref="B113:C113"/>
    <mergeCell ref="E113:F113"/>
    <mergeCell ref="B115:C115"/>
    <mergeCell ref="E115:F115"/>
    <mergeCell ref="B116:C116"/>
    <mergeCell ref="E116:F116"/>
    <mergeCell ref="A119:F119"/>
    <mergeCell ref="A123:F123"/>
    <mergeCell ref="A145:A146"/>
    <mergeCell ref="A148:A149"/>
    <mergeCell ref="A170:F170"/>
  </mergeCells>
  <pageMargins left="1.3779527559055118" right="0.39370078740157483" top="0.98425196850393704" bottom="0.78740157480314965" header="0.31496062992125984" footer="0.31496062992125984"/>
  <pageSetup paperSize="9" scale="68" orientation="portrait" r:id="rId1"/>
  <rowBreaks count="5" manualBreakCount="5">
    <brk id="18" max="5" man="1"/>
    <brk id="43" max="5" man="1"/>
    <brk id="62" max="5" man="1"/>
    <brk id="78" max="5" man="1"/>
    <brk id="10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2"/>
  <sheetViews>
    <sheetView view="pageBreakPreview" zoomScale="85" zoomScaleNormal="85" zoomScaleSheetLayoutView="85" workbookViewId="0">
      <selection activeCell="D16" sqref="D16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10" width="20.42578125" style="7" customWidth="1"/>
    <col min="11" max="11" width="12.85546875" style="7" customWidth="1"/>
    <col min="12" max="12" width="19.85546875" style="7" customWidth="1"/>
    <col min="13" max="13" width="10.140625" style="7" customWidth="1"/>
    <col min="14" max="14" width="16.85546875" style="7" customWidth="1"/>
    <col min="15" max="15" width="17" style="7" customWidth="1"/>
    <col min="16" max="16384" width="8.85546875" style="7"/>
  </cols>
  <sheetData>
    <row r="1" spans="1:12" ht="18.75" x14ac:dyDescent="0.25">
      <c r="A1" s="232" t="s">
        <v>264</v>
      </c>
      <c r="B1" s="232"/>
      <c r="C1" s="232"/>
      <c r="D1" s="232"/>
      <c r="E1" s="232"/>
      <c r="F1" s="232"/>
      <c r="G1" s="232"/>
      <c r="H1" s="232"/>
      <c r="I1" s="232"/>
      <c r="J1" s="118"/>
      <c r="K1" s="118"/>
      <c r="L1" s="118"/>
    </row>
    <row r="2" spans="1:12" ht="18.75" x14ac:dyDescent="0.25">
      <c r="A2" s="232" t="s">
        <v>473</v>
      </c>
      <c r="B2" s="232"/>
      <c r="C2" s="232"/>
      <c r="D2" s="232"/>
      <c r="E2" s="232"/>
      <c r="F2" s="232"/>
      <c r="G2" s="232"/>
      <c r="H2" s="232"/>
      <c r="I2" s="232"/>
      <c r="J2" s="118"/>
      <c r="K2" s="118"/>
      <c r="L2" s="118"/>
    </row>
    <row r="3" spans="1:12" x14ac:dyDescent="0.25">
      <c r="A3" s="30"/>
    </row>
    <row r="4" spans="1:12" ht="19.5" thickBot="1" x14ac:dyDescent="0.3">
      <c r="A4" s="6"/>
      <c r="F4" s="6"/>
      <c r="I4" s="6" t="s">
        <v>51</v>
      </c>
      <c r="J4" s="6"/>
      <c r="K4" s="6"/>
      <c r="L4" s="6"/>
    </row>
    <row r="5" spans="1:12" ht="18.600000000000001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392</v>
      </c>
      <c r="F5" s="226"/>
      <c r="G5" s="226" t="s">
        <v>1</v>
      </c>
      <c r="H5" s="226" t="s">
        <v>474</v>
      </c>
      <c r="I5" s="226"/>
      <c r="J5" s="73"/>
      <c r="K5" s="73"/>
      <c r="L5" s="73"/>
    </row>
    <row r="6" spans="1:12" ht="95.25" thickBot="1" x14ac:dyDescent="0.3">
      <c r="A6" s="225"/>
      <c r="B6" s="227"/>
      <c r="C6" s="229"/>
      <c r="D6" s="227"/>
      <c r="E6" s="117" t="s">
        <v>3</v>
      </c>
      <c r="F6" s="117" t="s">
        <v>4</v>
      </c>
      <c r="G6" s="227"/>
      <c r="H6" s="117" t="s">
        <v>3</v>
      </c>
      <c r="I6" s="38" t="s">
        <v>4</v>
      </c>
      <c r="J6" s="73"/>
      <c r="K6" s="73"/>
      <c r="L6" s="73"/>
    </row>
    <row r="7" spans="1:12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  <c r="J7" s="74"/>
      <c r="K7" s="74"/>
      <c r="L7" s="74"/>
    </row>
    <row r="8" spans="1:12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2">
        <v>0</v>
      </c>
      <c r="J8" s="75"/>
      <c r="K8" s="75"/>
      <c r="L8" s="75"/>
    </row>
    <row r="9" spans="1:12" ht="56.25" x14ac:dyDescent="0.25">
      <c r="A9" s="115" t="s">
        <v>48</v>
      </c>
      <c r="B9" s="119" t="s">
        <v>5</v>
      </c>
      <c r="C9" s="119" t="s">
        <v>5</v>
      </c>
      <c r="D9" s="5">
        <f t="shared" ref="D9:D81" si="0">E9+F9</f>
        <v>2.9802322387695313E-8</v>
      </c>
      <c r="E9" s="5">
        <f>E8+E10-E20+E102</f>
        <v>2.9802322387695313E-8</v>
      </c>
      <c r="F9" s="5">
        <f>F8+F10-F20+F102</f>
        <v>0</v>
      </c>
      <c r="G9" s="5">
        <f t="shared" ref="G9:G10" si="1">H9+I9</f>
        <v>2.9802322387695313E-8</v>
      </c>
      <c r="H9" s="5">
        <f>H8+H10-H20+H102</f>
        <v>2.9802322387695313E-8</v>
      </c>
      <c r="I9" s="5">
        <f>I8+I10-I20+I102</f>
        <v>0</v>
      </c>
      <c r="J9" s="75"/>
      <c r="K9" s="75"/>
      <c r="L9" s="75"/>
    </row>
    <row r="10" spans="1:12" ht="18.75" x14ac:dyDescent="0.25">
      <c r="A10" s="115" t="s">
        <v>49</v>
      </c>
      <c r="B10" s="119" t="s">
        <v>5</v>
      </c>
      <c r="C10" s="119" t="s">
        <v>5</v>
      </c>
      <c r="D10" s="5">
        <f t="shared" si="0"/>
        <v>164609021.74000001</v>
      </c>
      <c r="E10" s="2">
        <f>E12+E16</f>
        <v>164609021.74000001</v>
      </c>
      <c r="F10" s="2">
        <f>F12+F16+F97</f>
        <v>0</v>
      </c>
      <c r="G10" s="5">
        <f t="shared" si="1"/>
        <v>164609021.74000001</v>
      </c>
      <c r="H10" s="2">
        <f>H12+H16</f>
        <v>164609021.74000001</v>
      </c>
      <c r="I10" s="4">
        <f>I12+I16+I97</f>
        <v>0</v>
      </c>
      <c r="J10" s="36"/>
      <c r="K10" s="36"/>
      <c r="L10" s="36"/>
    </row>
    <row r="11" spans="1:12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  <c r="J11" s="36"/>
      <c r="K11" s="36"/>
      <c r="L11" s="36"/>
    </row>
    <row r="12" spans="1:12" ht="93.75" x14ac:dyDescent="0.25">
      <c r="A12" s="115" t="s">
        <v>496</v>
      </c>
      <c r="B12" s="119">
        <v>130</v>
      </c>
      <c r="C12" s="119" t="s">
        <v>5</v>
      </c>
      <c r="D12" s="5">
        <f t="shared" si="0"/>
        <v>164609021.74000001</v>
      </c>
      <c r="E12" s="2">
        <v>164609021.74000001</v>
      </c>
      <c r="F12" s="2">
        <v>0</v>
      </c>
      <c r="G12" s="5">
        <f t="shared" ref="G12:G16" si="2">H12+I12</f>
        <v>164609021.74000001</v>
      </c>
      <c r="H12" s="2">
        <v>164609021.74000001</v>
      </c>
      <c r="I12" s="4">
        <v>0</v>
      </c>
      <c r="J12" s="36"/>
      <c r="K12" s="36"/>
      <c r="L12" s="36"/>
    </row>
    <row r="13" spans="1:12" ht="18.75" x14ac:dyDescent="0.25">
      <c r="A13" s="214" t="s">
        <v>9</v>
      </c>
      <c r="B13" s="215"/>
      <c r="C13" s="215"/>
      <c r="D13" s="5"/>
      <c r="E13" s="2"/>
      <c r="F13" s="2"/>
      <c r="G13" s="5"/>
      <c r="H13" s="2"/>
      <c r="I13" s="4"/>
      <c r="J13" s="36"/>
      <c r="K13" s="36"/>
      <c r="L13" s="36"/>
    </row>
    <row r="14" spans="1:12" ht="112.5" x14ac:dyDescent="0.25">
      <c r="A14" s="214" t="s">
        <v>69</v>
      </c>
      <c r="B14" s="215">
        <v>131</v>
      </c>
      <c r="C14" s="215" t="s">
        <v>117</v>
      </c>
      <c r="D14" s="5">
        <f t="shared" ref="D14" si="3">E14+F14</f>
        <v>164609021.74000001</v>
      </c>
      <c r="E14" s="2">
        <v>164609021.74000001</v>
      </c>
      <c r="F14" s="2">
        <v>0</v>
      </c>
      <c r="G14" s="5">
        <f t="shared" ref="G14:G15" si="4">H14+I14</f>
        <v>164609021.74000001</v>
      </c>
      <c r="H14" s="2">
        <v>164609021.74000001</v>
      </c>
      <c r="I14" s="4">
        <v>0</v>
      </c>
      <c r="J14" s="36"/>
      <c r="K14" s="36"/>
      <c r="L14" s="36"/>
    </row>
    <row r="15" spans="1:12" ht="112.5" x14ac:dyDescent="0.25">
      <c r="A15" s="214" t="s">
        <v>497</v>
      </c>
      <c r="B15" s="215">
        <v>139</v>
      </c>
      <c r="C15" s="215" t="s">
        <v>117</v>
      </c>
      <c r="D15" s="5">
        <f>E15+F15</f>
        <v>0</v>
      </c>
      <c r="E15" s="2">
        <v>0</v>
      </c>
      <c r="F15" s="2">
        <v>0</v>
      </c>
      <c r="G15" s="5">
        <f t="shared" si="4"/>
        <v>0</v>
      </c>
      <c r="H15" s="2">
        <v>0</v>
      </c>
      <c r="I15" s="4">
        <v>0</v>
      </c>
      <c r="J15" s="36"/>
      <c r="K15" s="36"/>
      <c r="L15" s="36"/>
    </row>
    <row r="16" spans="1:12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">
        <f t="shared" ref="E16" si="5">E18+E19</f>
        <v>0</v>
      </c>
      <c r="F16" s="2">
        <f t="shared" ref="F16" si="6">F18+F19</f>
        <v>0</v>
      </c>
      <c r="G16" s="5">
        <f t="shared" si="2"/>
        <v>0</v>
      </c>
      <c r="H16" s="2">
        <f t="shared" ref="H16" si="7">H18+H19</f>
        <v>0</v>
      </c>
      <c r="I16" s="4">
        <f t="shared" ref="I16" si="8">I18+I19</f>
        <v>0</v>
      </c>
      <c r="J16" s="36"/>
      <c r="K16" s="36"/>
      <c r="L16" s="36"/>
    </row>
    <row r="17" spans="1:12" ht="18.75" x14ac:dyDescent="0.25">
      <c r="A17" s="115" t="s">
        <v>9</v>
      </c>
      <c r="B17" s="119"/>
      <c r="C17" s="119"/>
      <c r="D17" s="5"/>
      <c r="E17" s="2"/>
      <c r="F17" s="2"/>
      <c r="G17" s="5"/>
      <c r="H17" s="2"/>
      <c r="I17" s="4"/>
      <c r="J17" s="36"/>
      <c r="K17" s="36"/>
      <c r="L17" s="36"/>
    </row>
    <row r="18" spans="1:12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">
        <v>0</v>
      </c>
      <c r="F18" s="2">
        <v>0</v>
      </c>
      <c r="G18" s="5">
        <f t="shared" ref="G18:G20" si="9">H18+I18</f>
        <v>0</v>
      </c>
      <c r="H18" s="2">
        <v>0</v>
      </c>
      <c r="I18" s="4">
        <v>0</v>
      </c>
      <c r="J18" s="36"/>
      <c r="K18" s="36"/>
      <c r="L18" s="36"/>
    </row>
    <row r="19" spans="1:12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">
        <v>0</v>
      </c>
      <c r="F19" s="2">
        <v>0</v>
      </c>
      <c r="G19" s="5">
        <f t="shared" si="9"/>
        <v>0</v>
      </c>
      <c r="H19" s="2">
        <v>0</v>
      </c>
      <c r="I19" s="4">
        <v>0</v>
      </c>
      <c r="J19" s="36"/>
      <c r="K19" s="36"/>
      <c r="L19" s="36"/>
    </row>
    <row r="20" spans="1:12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164609021.73999998</v>
      </c>
      <c r="E20" s="2">
        <f>E22+E88</f>
        <v>164609021.73999998</v>
      </c>
      <c r="F20" s="2">
        <f>F22+F88</f>
        <v>0</v>
      </c>
      <c r="G20" s="5">
        <f t="shared" si="9"/>
        <v>164609021.73999998</v>
      </c>
      <c r="H20" s="2">
        <f>H22+H88</f>
        <v>164609021.73999998</v>
      </c>
      <c r="I20" s="2">
        <f>I22+I88</f>
        <v>0</v>
      </c>
      <c r="J20" s="36"/>
      <c r="K20" s="36"/>
      <c r="L20" s="36"/>
    </row>
    <row r="21" spans="1:12" ht="18.75" x14ac:dyDescent="0.25">
      <c r="A21" s="115" t="s">
        <v>6</v>
      </c>
      <c r="B21" s="119"/>
      <c r="C21" s="119"/>
      <c r="D21" s="5"/>
      <c r="E21" s="2"/>
      <c r="F21" s="2"/>
      <c r="G21" s="5"/>
      <c r="H21" s="2"/>
      <c r="I21" s="2"/>
      <c r="J21" s="36"/>
      <c r="K21" s="36"/>
      <c r="L21" s="36"/>
    </row>
    <row r="22" spans="1:12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155207118.11999997</v>
      </c>
      <c r="E22" s="2">
        <f>E24+E32+E61+E68</f>
        <v>155207118.11999997</v>
      </c>
      <c r="F22" s="2">
        <f>F24+F32+F61+F68</f>
        <v>0</v>
      </c>
      <c r="G22" s="5">
        <f t="shared" ref="G22" si="10">H22+I22</f>
        <v>155207118.11999997</v>
      </c>
      <c r="H22" s="2">
        <f>H24+H32+H61+H68</f>
        <v>155207118.11999997</v>
      </c>
      <c r="I22" s="2">
        <f>I24+I32+I61+I68</f>
        <v>0</v>
      </c>
      <c r="J22" s="36"/>
      <c r="K22" s="36"/>
      <c r="L22" s="36"/>
    </row>
    <row r="23" spans="1:12" ht="14.45" customHeight="1" x14ac:dyDescent="0.25">
      <c r="A23" s="115" t="s">
        <v>9</v>
      </c>
      <c r="B23" s="119"/>
      <c r="C23" s="119"/>
      <c r="D23" s="5"/>
      <c r="E23" s="2"/>
      <c r="F23" s="2"/>
      <c r="G23" s="5"/>
      <c r="H23" s="2"/>
      <c r="I23" s="2"/>
      <c r="J23" s="36"/>
      <c r="K23" s="36"/>
      <c r="L23" s="36"/>
    </row>
    <row r="24" spans="1:12" ht="75" x14ac:dyDescent="0.25">
      <c r="A24" s="115" t="s">
        <v>10</v>
      </c>
      <c r="B24" s="119" t="s">
        <v>5</v>
      </c>
      <c r="C24" s="119">
        <v>210</v>
      </c>
      <c r="D24" s="5">
        <f t="shared" si="0"/>
        <v>59744391.629999995</v>
      </c>
      <c r="E24" s="2">
        <f>E26+E27+E28+E29</f>
        <v>59744391.629999995</v>
      </c>
      <c r="F24" s="2">
        <f>F26+F27+F28+F29</f>
        <v>0</v>
      </c>
      <c r="G24" s="5">
        <f t="shared" ref="G24" si="11">H24+I24</f>
        <v>59744391.629999995</v>
      </c>
      <c r="H24" s="2">
        <f>H26+H27+H28+H29</f>
        <v>59744391.629999995</v>
      </c>
      <c r="I24" s="2">
        <f>I26+I27+I28+I29</f>
        <v>0</v>
      </c>
      <c r="J24" s="36"/>
      <c r="K24" s="36"/>
      <c r="L24" s="36"/>
    </row>
    <row r="25" spans="1:12" ht="18.75" x14ac:dyDescent="0.25">
      <c r="A25" s="115" t="s">
        <v>9</v>
      </c>
      <c r="B25" s="119"/>
      <c r="C25" s="119"/>
      <c r="D25" s="5"/>
      <c r="E25" s="2"/>
      <c r="F25" s="2"/>
      <c r="G25" s="5"/>
      <c r="H25" s="2"/>
      <c r="I25" s="2"/>
      <c r="J25" s="36"/>
      <c r="K25" s="36"/>
      <c r="L25" s="36"/>
    </row>
    <row r="26" spans="1:12" ht="18.75" x14ac:dyDescent="0.25">
      <c r="A26" s="115" t="s">
        <v>11</v>
      </c>
      <c r="B26" s="119">
        <v>111</v>
      </c>
      <c r="C26" s="119">
        <v>211</v>
      </c>
      <c r="D26" s="5">
        <f t="shared" si="0"/>
        <v>45880485.119999997</v>
      </c>
      <c r="E26" s="2">
        <v>45880485.119999997</v>
      </c>
      <c r="F26" s="2">
        <f t="shared" ref="F26:F28" si="12">F28+F29+F30+F31</f>
        <v>0</v>
      </c>
      <c r="G26" s="5">
        <f t="shared" ref="G26:G28" si="13">H26+I26</f>
        <v>45880485.119999997</v>
      </c>
      <c r="H26" s="2">
        <v>45880485.119999997</v>
      </c>
      <c r="I26" s="2">
        <f t="shared" ref="I26:I28" si="14">I28+I29+I30+I31</f>
        <v>0</v>
      </c>
      <c r="J26" s="36"/>
      <c r="K26" s="36"/>
      <c r="L26" s="36"/>
    </row>
    <row r="27" spans="1:12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">
        <v>8000</v>
      </c>
      <c r="F27" s="2">
        <f t="shared" si="12"/>
        <v>0</v>
      </c>
      <c r="G27" s="5">
        <f t="shared" si="13"/>
        <v>8000</v>
      </c>
      <c r="H27" s="2">
        <v>8000</v>
      </c>
      <c r="I27" s="2">
        <f t="shared" si="14"/>
        <v>0</v>
      </c>
      <c r="J27" s="36"/>
      <c r="K27" s="36"/>
      <c r="L27" s="36"/>
    </row>
    <row r="28" spans="1:12" ht="56.25" x14ac:dyDescent="0.25">
      <c r="A28" s="115" t="s">
        <v>13</v>
      </c>
      <c r="B28" s="119">
        <v>119</v>
      </c>
      <c r="C28" s="119">
        <v>213</v>
      </c>
      <c r="D28" s="5">
        <f t="shared" si="0"/>
        <v>13855906.51</v>
      </c>
      <c r="E28" s="2">
        <v>13855906.51</v>
      </c>
      <c r="F28" s="2">
        <f t="shared" si="12"/>
        <v>0</v>
      </c>
      <c r="G28" s="5">
        <f t="shared" si="13"/>
        <v>13855906.51</v>
      </c>
      <c r="H28" s="2">
        <v>13855906.51</v>
      </c>
      <c r="I28" s="2">
        <f t="shared" si="14"/>
        <v>0</v>
      </c>
      <c r="J28" s="36"/>
      <c r="K28" s="36"/>
      <c r="L28" s="36"/>
    </row>
    <row r="29" spans="1:12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">
        <f>E30+E31</f>
        <v>0</v>
      </c>
      <c r="F29" s="2">
        <f>F30+F31</f>
        <v>0</v>
      </c>
      <c r="G29" s="5">
        <f>H29+I29</f>
        <v>0</v>
      </c>
      <c r="H29" s="2">
        <f>H30+H31</f>
        <v>0</v>
      </c>
      <c r="I29" s="2">
        <f>I30+I31</f>
        <v>0</v>
      </c>
      <c r="J29" s="36"/>
      <c r="K29" s="36"/>
      <c r="L29" s="36"/>
    </row>
    <row r="30" spans="1:12" ht="18.75" x14ac:dyDescent="0.25">
      <c r="A30" s="230" t="s">
        <v>6</v>
      </c>
      <c r="B30" s="119">
        <v>112</v>
      </c>
      <c r="C30" s="119">
        <v>214</v>
      </c>
      <c r="D30" s="5">
        <f t="shared" si="0"/>
        <v>0</v>
      </c>
      <c r="E30" s="2"/>
      <c r="F30" s="2">
        <v>0</v>
      </c>
      <c r="G30" s="5">
        <f t="shared" ref="G30" si="15">H30+I30</f>
        <v>0</v>
      </c>
      <c r="H30" s="2">
        <v>0</v>
      </c>
      <c r="I30" s="2">
        <v>0</v>
      </c>
      <c r="J30" s="36"/>
      <c r="K30" s="36"/>
      <c r="L30" s="36"/>
    </row>
    <row r="31" spans="1:12" ht="22.15" customHeight="1" x14ac:dyDescent="0.25">
      <c r="A31" s="231"/>
      <c r="B31" s="119">
        <v>244</v>
      </c>
      <c r="C31" s="119">
        <v>214</v>
      </c>
      <c r="D31" s="5">
        <v>0</v>
      </c>
      <c r="E31" s="2"/>
      <c r="F31" s="2">
        <v>0</v>
      </c>
      <c r="G31" s="5">
        <v>0</v>
      </c>
      <c r="H31" s="2">
        <v>0</v>
      </c>
      <c r="I31" s="2">
        <v>0</v>
      </c>
      <c r="J31" s="36"/>
      <c r="K31" s="36"/>
      <c r="L31" s="36"/>
    </row>
    <row r="32" spans="1:12" ht="37.5" x14ac:dyDescent="0.25">
      <c r="A32" s="115" t="s">
        <v>14</v>
      </c>
      <c r="B32" s="119" t="s">
        <v>5</v>
      </c>
      <c r="C32" s="119">
        <v>220</v>
      </c>
      <c r="D32" s="5">
        <f>E32+F32</f>
        <v>75497833.190000013</v>
      </c>
      <c r="E32" s="2">
        <f>E34+E35+E38+E49+E50+E53+E59+E60</f>
        <v>75497833.190000013</v>
      </c>
      <c r="F32" s="2">
        <f>F34+F35+F38+F49+F50+F53+F59</f>
        <v>0</v>
      </c>
      <c r="G32" s="5">
        <f t="shared" ref="G32" si="16">H32+I32</f>
        <v>75497833.190000013</v>
      </c>
      <c r="H32" s="2">
        <f>H34+H35+H38+H49+H50+H53+H59+H60</f>
        <v>75497833.190000013</v>
      </c>
      <c r="I32" s="2">
        <f>I34+I35+I38+I49+I50+I53+I59</f>
        <v>0</v>
      </c>
      <c r="J32" s="36"/>
      <c r="K32" s="36"/>
      <c r="L32" s="36"/>
    </row>
    <row r="33" spans="1:12" ht="18.75" x14ac:dyDescent="0.25">
      <c r="A33" s="115" t="s">
        <v>9</v>
      </c>
      <c r="B33" s="119"/>
      <c r="C33" s="119"/>
      <c r="D33" s="5"/>
      <c r="E33" s="2"/>
      <c r="F33" s="2"/>
      <c r="G33" s="5"/>
      <c r="H33" s="2"/>
      <c r="I33" s="2"/>
      <c r="J33" s="36"/>
      <c r="K33" s="36"/>
      <c r="L33" s="36"/>
    </row>
    <row r="34" spans="1:12" ht="18.75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">
        <v>2377640</v>
      </c>
      <c r="F34" s="2">
        <v>0</v>
      </c>
      <c r="G34" s="5">
        <f t="shared" ref="G34:G38" si="17">H34+I34</f>
        <v>2377640</v>
      </c>
      <c r="H34" s="2">
        <v>2377640</v>
      </c>
      <c r="I34" s="2">
        <v>0</v>
      </c>
      <c r="J34" s="36"/>
      <c r="K34" s="36"/>
      <c r="L34" s="36"/>
    </row>
    <row r="35" spans="1:12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">
        <f>E36+E37</f>
        <v>0</v>
      </c>
      <c r="F35" s="2">
        <f>F36+F37</f>
        <v>0</v>
      </c>
      <c r="G35" s="5">
        <f t="shared" si="17"/>
        <v>0</v>
      </c>
      <c r="H35" s="2">
        <f>H36+H37</f>
        <v>0</v>
      </c>
      <c r="I35" s="2">
        <f>I36+I37</f>
        <v>0</v>
      </c>
      <c r="J35" s="36"/>
      <c r="K35" s="36"/>
      <c r="L35" s="36"/>
    </row>
    <row r="36" spans="1:12" ht="22.9" customHeight="1" x14ac:dyDescent="0.25">
      <c r="A36" s="216" t="s">
        <v>6</v>
      </c>
      <c r="B36" s="119">
        <v>112</v>
      </c>
      <c r="C36" s="119">
        <v>222</v>
      </c>
      <c r="D36" s="5">
        <f t="shared" si="0"/>
        <v>0</v>
      </c>
      <c r="E36" s="2">
        <v>0</v>
      </c>
      <c r="F36" s="2">
        <v>0</v>
      </c>
      <c r="G36" s="5">
        <f t="shared" si="17"/>
        <v>0</v>
      </c>
      <c r="H36" s="2">
        <v>0</v>
      </c>
      <c r="I36" s="2">
        <v>0</v>
      </c>
      <c r="J36" s="36"/>
      <c r="K36" s="36"/>
      <c r="L36" s="36"/>
    </row>
    <row r="37" spans="1:12" ht="18.75" x14ac:dyDescent="0.25">
      <c r="A37" s="216"/>
      <c r="B37" s="119">
        <v>244</v>
      </c>
      <c r="C37" s="119">
        <v>222</v>
      </c>
      <c r="D37" s="5">
        <f t="shared" si="0"/>
        <v>0</v>
      </c>
      <c r="E37" s="2">
        <v>0</v>
      </c>
      <c r="F37" s="2">
        <v>0</v>
      </c>
      <c r="G37" s="5">
        <f t="shared" si="17"/>
        <v>0</v>
      </c>
      <c r="H37" s="2">
        <v>0</v>
      </c>
      <c r="I37" s="2">
        <v>0</v>
      </c>
      <c r="J37" s="36"/>
      <c r="K37" s="36"/>
      <c r="L37" s="36"/>
    </row>
    <row r="38" spans="1:12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36113963.160000004</v>
      </c>
      <c r="E38" s="2">
        <f t="shared" ref="E38" si="18">E41+E43+E45+E46+E47</f>
        <v>36113963.160000004</v>
      </c>
      <c r="F38" s="2">
        <f t="shared" ref="F38" si="19">F41+F43+F45+F46+F47</f>
        <v>0</v>
      </c>
      <c r="G38" s="5">
        <f t="shared" si="17"/>
        <v>36113963.160000004</v>
      </c>
      <c r="H38" s="2">
        <f t="shared" ref="H38" si="20">H41+H43+H45+H46+H47</f>
        <v>36113963.160000004</v>
      </c>
      <c r="I38" s="2">
        <f t="shared" ref="I38" si="21">I41+I43+I45+I46+I47</f>
        <v>0</v>
      </c>
      <c r="J38" s="36"/>
      <c r="K38" s="36"/>
      <c r="L38" s="36"/>
    </row>
    <row r="39" spans="1:12" ht="18.75" x14ac:dyDescent="0.25">
      <c r="A39" s="115" t="s">
        <v>6</v>
      </c>
      <c r="B39" s="119"/>
      <c r="C39" s="119"/>
      <c r="D39" s="5"/>
      <c r="E39" s="2"/>
      <c r="F39" s="2"/>
      <c r="G39" s="5"/>
      <c r="H39" s="2"/>
      <c r="I39" s="2"/>
      <c r="J39" s="36"/>
      <c r="K39" s="36"/>
      <c r="L39" s="36"/>
    </row>
    <row r="40" spans="1:12" ht="56.25" x14ac:dyDescent="0.25">
      <c r="A40" s="190" t="s">
        <v>18</v>
      </c>
      <c r="B40" s="191">
        <v>244</v>
      </c>
      <c r="C40" s="191">
        <v>223</v>
      </c>
      <c r="D40" s="5">
        <f t="shared" ref="D40" si="22">E40+F40</f>
        <v>0</v>
      </c>
      <c r="E40" s="2">
        <v>0</v>
      </c>
      <c r="F40" s="2">
        <v>0</v>
      </c>
      <c r="G40" s="5">
        <f t="shared" ref="G40" si="23">H40+I40</f>
        <v>0</v>
      </c>
      <c r="H40" s="2">
        <v>0</v>
      </c>
      <c r="I40" s="2">
        <v>0</v>
      </c>
      <c r="J40" s="36"/>
      <c r="K40" s="36"/>
      <c r="L40" s="36"/>
    </row>
    <row r="41" spans="1:12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">
        <v>0</v>
      </c>
      <c r="F41" s="2">
        <v>0</v>
      </c>
      <c r="G41" s="5">
        <f t="shared" ref="G41:G49" si="24">H41+I41</f>
        <v>0</v>
      </c>
      <c r="H41" s="2">
        <v>0</v>
      </c>
      <c r="I41" s="2">
        <v>0</v>
      </c>
      <c r="J41" s="36"/>
      <c r="K41" s="36"/>
      <c r="L41" s="36"/>
    </row>
    <row r="42" spans="1:12" ht="37.5" x14ac:dyDescent="0.25">
      <c r="A42" s="190" t="s">
        <v>19</v>
      </c>
      <c r="B42" s="191">
        <v>244</v>
      </c>
      <c r="C42" s="191">
        <v>223</v>
      </c>
      <c r="D42" s="5">
        <f t="shared" ref="D42" si="25">E42+F42</f>
        <v>0</v>
      </c>
      <c r="E42" s="2">
        <v>0</v>
      </c>
      <c r="F42" s="2">
        <v>0</v>
      </c>
      <c r="G42" s="5">
        <f t="shared" ref="G42" si="26">H42+I42</f>
        <v>0</v>
      </c>
      <c r="H42" s="2">
        <v>0</v>
      </c>
      <c r="I42" s="2">
        <v>0</v>
      </c>
      <c r="J42" s="36"/>
      <c r="K42" s="36"/>
      <c r="L42" s="36"/>
    </row>
    <row r="43" spans="1:12" ht="37.5" x14ac:dyDescent="0.25">
      <c r="A43" s="115" t="s">
        <v>19</v>
      </c>
      <c r="B43" s="119">
        <v>247</v>
      </c>
      <c r="C43" s="119">
        <v>223</v>
      </c>
      <c r="D43" s="5">
        <f t="shared" si="0"/>
        <v>3626465.69</v>
      </c>
      <c r="E43" s="2">
        <v>3626465.69</v>
      </c>
      <c r="F43" s="2">
        <v>0</v>
      </c>
      <c r="G43" s="5">
        <f t="shared" si="24"/>
        <v>3626465.69</v>
      </c>
      <c r="H43" s="2">
        <v>3626465.69</v>
      </c>
      <c r="I43" s="2">
        <v>0</v>
      </c>
      <c r="J43" s="36"/>
      <c r="K43" s="36"/>
      <c r="L43" s="36"/>
    </row>
    <row r="44" spans="1:12" ht="75" x14ac:dyDescent="0.25">
      <c r="A44" s="190" t="s">
        <v>20</v>
      </c>
      <c r="B44" s="191">
        <v>244</v>
      </c>
      <c r="C44" s="191">
        <v>223</v>
      </c>
      <c r="D44" s="5">
        <f t="shared" ref="D44" si="27">E44+F44</f>
        <v>0</v>
      </c>
      <c r="E44" s="2">
        <v>0</v>
      </c>
      <c r="F44" s="2">
        <v>0</v>
      </c>
      <c r="G44" s="5">
        <f t="shared" ref="G44" si="28">H44+I44</f>
        <v>0</v>
      </c>
      <c r="H44" s="2">
        <v>0</v>
      </c>
      <c r="I44" s="2">
        <v>0</v>
      </c>
      <c r="J44" s="36"/>
      <c r="K44" s="36"/>
      <c r="L44" s="36"/>
    </row>
    <row r="45" spans="1:12" ht="75" x14ac:dyDescent="0.25">
      <c r="A45" s="115" t="s">
        <v>20</v>
      </c>
      <c r="B45" s="119">
        <v>247</v>
      </c>
      <c r="C45" s="119">
        <v>223</v>
      </c>
      <c r="D45" s="5">
        <f t="shared" si="0"/>
        <v>25316126.350000001</v>
      </c>
      <c r="E45" s="2">
        <v>25316126.350000001</v>
      </c>
      <c r="F45" s="2">
        <v>0</v>
      </c>
      <c r="G45" s="5">
        <f t="shared" si="24"/>
        <v>25316126.350000001</v>
      </c>
      <c r="H45" s="2">
        <v>25316126.350000001</v>
      </c>
      <c r="I45" s="2">
        <v>0</v>
      </c>
      <c r="J45" s="36"/>
      <c r="K45" s="36"/>
      <c r="L45" s="36"/>
    </row>
    <row r="46" spans="1:12" ht="75" x14ac:dyDescent="0.25">
      <c r="A46" s="115" t="s">
        <v>21</v>
      </c>
      <c r="B46" s="119">
        <v>244</v>
      </c>
      <c r="C46" s="119">
        <v>223</v>
      </c>
      <c r="D46" s="5">
        <f t="shared" si="0"/>
        <v>6574816.25</v>
      </c>
      <c r="E46" s="2">
        <v>6574816.25</v>
      </c>
      <c r="F46" s="2">
        <v>0</v>
      </c>
      <c r="G46" s="5">
        <f t="shared" si="24"/>
        <v>6574816.25</v>
      </c>
      <c r="H46" s="2">
        <v>6574816.25</v>
      </c>
      <c r="I46" s="2">
        <v>0</v>
      </c>
      <c r="J46" s="36"/>
      <c r="K46" s="36"/>
      <c r="L46" s="36"/>
    </row>
    <row r="47" spans="1:12" ht="56.25" x14ac:dyDescent="0.25">
      <c r="A47" s="115" t="s">
        <v>22</v>
      </c>
      <c r="B47" s="119">
        <v>244</v>
      </c>
      <c r="C47" s="119">
        <v>223</v>
      </c>
      <c r="D47" s="5">
        <f t="shared" si="0"/>
        <v>596554.87</v>
      </c>
      <c r="E47" s="2">
        <v>596554.87</v>
      </c>
      <c r="F47" s="2">
        <v>0</v>
      </c>
      <c r="G47" s="5">
        <f t="shared" si="24"/>
        <v>596554.87</v>
      </c>
      <c r="H47" s="2">
        <v>596554.87</v>
      </c>
      <c r="I47" s="2">
        <v>0</v>
      </c>
      <c r="J47" s="36"/>
      <c r="K47" s="36"/>
      <c r="L47" s="36"/>
    </row>
    <row r="48" spans="1:12" ht="56.25" x14ac:dyDescent="0.25">
      <c r="A48" s="195" t="s">
        <v>446</v>
      </c>
      <c r="B48" s="196">
        <v>244</v>
      </c>
      <c r="C48" s="196">
        <v>223</v>
      </c>
      <c r="D48" s="5">
        <f t="shared" ref="D48" si="29">E48+F48</f>
        <v>0</v>
      </c>
      <c r="E48" s="2">
        <v>0</v>
      </c>
      <c r="F48" s="2">
        <v>0</v>
      </c>
      <c r="G48" s="5">
        <f t="shared" ref="G48" si="30">H48+I48</f>
        <v>0</v>
      </c>
      <c r="H48" s="2">
        <v>0</v>
      </c>
      <c r="I48" s="2">
        <v>0</v>
      </c>
      <c r="J48" s="36"/>
      <c r="K48" s="36"/>
      <c r="L48" s="36"/>
    </row>
    <row r="49" spans="1:12" ht="168.75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">
        <v>0</v>
      </c>
      <c r="F49" s="2">
        <v>0</v>
      </c>
      <c r="G49" s="5">
        <f t="shared" si="24"/>
        <v>0</v>
      </c>
      <c r="H49" s="2">
        <v>0</v>
      </c>
      <c r="I49" s="2">
        <v>0</v>
      </c>
      <c r="J49" s="36"/>
      <c r="K49" s="36"/>
      <c r="L49" s="36"/>
    </row>
    <row r="50" spans="1:12" ht="56.25" x14ac:dyDescent="0.25">
      <c r="A50" s="115" t="s">
        <v>24</v>
      </c>
      <c r="B50" s="119" t="s">
        <v>5</v>
      </c>
      <c r="C50" s="119">
        <v>225</v>
      </c>
      <c r="D50" s="2">
        <f t="shared" ref="D50:F50" si="31">D51+D52</f>
        <v>27992701.129999999</v>
      </c>
      <c r="E50" s="2">
        <f>E51+E52</f>
        <v>27992701.129999999</v>
      </c>
      <c r="F50" s="2">
        <f t="shared" si="31"/>
        <v>0</v>
      </c>
      <c r="G50" s="2">
        <f t="shared" ref="G50" si="32">G51+G52</f>
        <v>27992701.129999999</v>
      </c>
      <c r="H50" s="2">
        <f>H51+H52</f>
        <v>27992701.129999999</v>
      </c>
      <c r="I50" s="2">
        <f t="shared" ref="I50" si="33">I51+I52</f>
        <v>0</v>
      </c>
      <c r="J50" s="36"/>
      <c r="K50" s="36"/>
      <c r="L50" s="36"/>
    </row>
    <row r="51" spans="1:12" ht="18.75" x14ac:dyDescent="0.25">
      <c r="A51" s="216" t="s">
        <v>6</v>
      </c>
      <c r="B51" s="119">
        <v>243</v>
      </c>
      <c r="C51" s="119">
        <v>225</v>
      </c>
      <c r="D51" s="5">
        <f t="shared" si="0"/>
        <v>0</v>
      </c>
      <c r="E51" s="2"/>
      <c r="F51" s="2">
        <v>0</v>
      </c>
      <c r="G51" s="5">
        <f t="shared" ref="G51:G88" si="34">H51+I51</f>
        <v>0</v>
      </c>
      <c r="H51" s="2">
        <v>0</v>
      </c>
      <c r="I51" s="2">
        <v>0</v>
      </c>
      <c r="J51" s="36"/>
      <c r="K51" s="36"/>
      <c r="L51" s="36"/>
    </row>
    <row r="52" spans="1:12" ht="18.75" x14ac:dyDescent="0.25">
      <c r="A52" s="216"/>
      <c r="B52" s="119">
        <v>244</v>
      </c>
      <c r="C52" s="119">
        <v>225</v>
      </c>
      <c r="D52" s="5">
        <f t="shared" si="0"/>
        <v>27992701.129999999</v>
      </c>
      <c r="E52" s="2">
        <v>27992701.129999999</v>
      </c>
      <c r="F52" s="2">
        <v>0</v>
      </c>
      <c r="G52" s="5">
        <f t="shared" si="34"/>
        <v>27992701.129999999</v>
      </c>
      <c r="H52" s="2">
        <v>27992701.129999999</v>
      </c>
      <c r="I52" s="2">
        <v>0</v>
      </c>
      <c r="J52" s="36"/>
      <c r="K52" s="36"/>
      <c r="L52" s="36"/>
    </row>
    <row r="53" spans="1:12" ht="37.5" x14ac:dyDescent="0.25">
      <c r="A53" s="115" t="s">
        <v>58</v>
      </c>
      <c r="B53" s="119" t="s">
        <v>5</v>
      </c>
      <c r="C53" s="119">
        <v>226</v>
      </c>
      <c r="D53" s="5">
        <f t="shared" si="0"/>
        <v>9008461.2799999993</v>
      </c>
      <c r="E53" s="2">
        <f>E54+E55+E57+E58+E56</f>
        <v>9008461.2799999993</v>
      </c>
      <c r="F53" s="2">
        <f>F54+F55+F57+F58+F56</f>
        <v>0</v>
      </c>
      <c r="G53" s="5">
        <f t="shared" si="34"/>
        <v>9008461.2799999993</v>
      </c>
      <c r="H53" s="2">
        <f>H54+H55+H57+H58+H56</f>
        <v>9008461.2799999993</v>
      </c>
      <c r="I53" s="2">
        <f>I54+I55+I57+I58+I56</f>
        <v>0</v>
      </c>
      <c r="J53" s="36"/>
      <c r="K53" s="36"/>
      <c r="L53" s="36"/>
    </row>
    <row r="54" spans="1:12" ht="18.75" x14ac:dyDescent="0.25">
      <c r="A54" s="216" t="s">
        <v>6</v>
      </c>
      <c r="B54" s="119">
        <v>112</v>
      </c>
      <c r="C54" s="119">
        <v>226</v>
      </c>
      <c r="D54" s="5">
        <f t="shared" si="0"/>
        <v>0</v>
      </c>
      <c r="E54" s="2">
        <v>0</v>
      </c>
      <c r="F54" s="2">
        <v>0</v>
      </c>
      <c r="G54" s="5">
        <f t="shared" si="34"/>
        <v>0</v>
      </c>
      <c r="H54" s="2">
        <v>0</v>
      </c>
      <c r="I54" s="2">
        <v>0</v>
      </c>
      <c r="J54" s="36"/>
      <c r="K54" s="36"/>
      <c r="L54" s="36"/>
    </row>
    <row r="55" spans="1:12" ht="18.75" x14ac:dyDescent="0.25">
      <c r="A55" s="216"/>
      <c r="B55" s="119">
        <v>113</v>
      </c>
      <c r="C55" s="119">
        <v>226</v>
      </c>
      <c r="D55" s="5">
        <f t="shared" si="0"/>
        <v>0</v>
      </c>
      <c r="E55" s="2">
        <v>0</v>
      </c>
      <c r="F55" s="2">
        <v>0</v>
      </c>
      <c r="G55" s="5">
        <f t="shared" si="34"/>
        <v>0</v>
      </c>
      <c r="H55" s="2">
        <v>0</v>
      </c>
      <c r="I55" s="2">
        <v>0</v>
      </c>
      <c r="J55" s="36"/>
      <c r="K55" s="36"/>
      <c r="L55" s="36"/>
    </row>
    <row r="56" spans="1:12" ht="18.75" x14ac:dyDescent="0.25">
      <c r="A56" s="216"/>
      <c r="B56" s="119">
        <v>119</v>
      </c>
      <c r="C56" s="119">
        <v>226</v>
      </c>
      <c r="D56" s="5">
        <f t="shared" si="0"/>
        <v>0</v>
      </c>
      <c r="E56" s="2">
        <v>0</v>
      </c>
      <c r="F56" s="2">
        <v>0</v>
      </c>
      <c r="G56" s="5">
        <f t="shared" si="34"/>
        <v>0</v>
      </c>
      <c r="H56" s="2">
        <v>0</v>
      </c>
      <c r="I56" s="2">
        <v>0</v>
      </c>
      <c r="J56" s="36"/>
      <c r="K56" s="36"/>
      <c r="L56" s="36"/>
    </row>
    <row r="57" spans="1:12" ht="18.75" x14ac:dyDescent="0.25">
      <c r="A57" s="216"/>
      <c r="B57" s="119">
        <v>243</v>
      </c>
      <c r="C57" s="119">
        <v>226</v>
      </c>
      <c r="D57" s="5">
        <f t="shared" si="0"/>
        <v>0</v>
      </c>
      <c r="E57" s="2">
        <v>0</v>
      </c>
      <c r="F57" s="2">
        <v>0</v>
      </c>
      <c r="G57" s="5">
        <f t="shared" si="34"/>
        <v>0</v>
      </c>
      <c r="H57" s="2">
        <v>0</v>
      </c>
      <c r="I57" s="2">
        <v>0</v>
      </c>
      <c r="J57" s="36"/>
      <c r="K57" s="36"/>
      <c r="L57" s="36"/>
    </row>
    <row r="58" spans="1:12" ht="18.75" x14ac:dyDescent="0.25">
      <c r="A58" s="216"/>
      <c r="B58" s="119">
        <v>244</v>
      </c>
      <c r="C58" s="119">
        <v>226</v>
      </c>
      <c r="D58" s="5">
        <f t="shared" si="0"/>
        <v>9008461.2799999993</v>
      </c>
      <c r="E58" s="2">
        <v>9008461.2799999993</v>
      </c>
      <c r="F58" s="2">
        <v>0</v>
      </c>
      <c r="G58" s="5">
        <f t="shared" si="34"/>
        <v>9008461.2799999993</v>
      </c>
      <c r="H58" s="2">
        <v>9008461.2799999993</v>
      </c>
      <c r="I58" s="2">
        <v>0</v>
      </c>
      <c r="J58" s="36"/>
      <c r="K58" s="36"/>
      <c r="L58" s="36"/>
    </row>
    <row r="59" spans="1:12" ht="18.75" x14ac:dyDescent="0.25">
      <c r="A59" s="115" t="s">
        <v>25</v>
      </c>
      <c r="B59" s="119">
        <v>244</v>
      </c>
      <c r="C59" s="119">
        <v>227</v>
      </c>
      <c r="D59" s="5">
        <f t="shared" si="0"/>
        <v>5067.62</v>
      </c>
      <c r="E59" s="2">
        <v>5067.62</v>
      </c>
      <c r="F59" s="2">
        <v>0</v>
      </c>
      <c r="G59" s="5">
        <f t="shared" si="34"/>
        <v>5067.62</v>
      </c>
      <c r="H59" s="2">
        <v>5067.62</v>
      </c>
      <c r="I59" s="2">
        <v>0</v>
      </c>
      <c r="J59" s="36"/>
      <c r="K59" s="36"/>
      <c r="L59" s="36"/>
    </row>
    <row r="60" spans="1:12" ht="56.25" x14ac:dyDescent="0.25">
      <c r="A60" s="170" t="s">
        <v>346</v>
      </c>
      <c r="B60" s="171">
        <v>244</v>
      </c>
      <c r="C60" s="171">
        <v>228</v>
      </c>
      <c r="D60" s="5">
        <f t="shared" ref="D60" si="35">E60+F60</f>
        <v>0</v>
      </c>
      <c r="E60" s="2">
        <v>0</v>
      </c>
      <c r="F60" s="2">
        <v>0</v>
      </c>
      <c r="G60" s="5">
        <f t="shared" ref="G60" si="36">H60+I60</f>
        <v>0</v>
      </c>
      <c r="H60" s="2">
        <v>0</v>
      </c>
      <c r="I60" s="2">
        <v>0</v>
      </c>
      <c r="J60" s="36"/>
      <c r="K60" s="36"/>
      <c r="L60" s="36"/>
    </row>
    <row r="61" spans="1:12" ht="37.5" x14ac:dyDescent="0.25">
      <c r="A61" s="115" t="s">
        <v>26</v>
      </c>
      <c r="B61" s="119" t="s">
        <v>5</v>
      </c>
      <c r="C61" s="119">
        <v>260</v>
      </c>
      <c r="D61" s="5">
        <f t="shared" si="0"/>
        <v>49999.92</v>
      </c>
      <c r="E61" s="2">
        <f>E62+E63+E64+E67</f>
        <v>49999.92</v>
      </c>
      <c r="F61" s="2">
        <f>F62+F64+F67</f>
        <v>0</v>
      </c>
      <c r="G61" s="5">
        <f t="shared" si="34"/>
        <v>49999.92</v>
      </c>
      <c r="H61" s="2">
        <f>H62+H63+H64+H67</f>
        <v>49999.92</v>
      </c>
      <c r="I61" s="2">
        <f>I62+I64+I67</f>
        <v>0</v>
      </c>
      <c r="J61" s="36"/>
      <c r="K61" s="36"/>
      <c r="L61" s="36"/>
    </row>
    <row r="62" spans="1:12" ht="112.5" x14ac:dyDescent="0.25">
      <c r="A62" s="115" t="s">
        <v>27</v>
      </c>
      <c r="B62" s="119">
        <v>321</v>
      </c>
      <c r="C62" s="119">
        <v>264</v>
      </c>
      <c r="D62" s="5">
        <f t="shared" si="0"/>
        <v>0</v>
      </c>
      <c r="E62" s="2">
        <v>0</v>
      </c>
      <c r="F62" s="2">
        <v>0</v>
      </c>
      <c r="G62" s="5">
        <f t="shared" si="34"/>
        <v>0</v>
      </c>
      <c r="H62" s="2">
        <v>0</v>
      </c>
      <c r="I62" s="2">
        <v>0</v>
      </c>
      <c r="J62" s="36"/>
      <c r="K62" s="36"/>
      <c r="L62" s="36"/>
    </row>
    <row r="63" spans="1:12" ht="168.75" x14ac:dyDescent="0.25">
      <c r="A63" s="193" t="s">
        <v>444</v>
      </c>
      <c r="B63" s="194">
        <v>119</v>
      </c>
      <c r="C63" s="194">
        <v>265</v>
      </c>
      <c r="D63" s="5">
        <f t="shared" si="0"/>
        <v>0</v>
      </c>
      <c r="E63" s="2">
        <v>0</v>
      </c>
      <c r="F63" s="2">
        <v>0</v>
      </c>
      <c r="G63" s="5">
        <f t="shared" si="34"/>
        <v>0</v>
      </c>
      <c r="H63" s="2">
        <v>0</v>
      </c>
      <c r="I63" s="2">
        <v>0</v>
      </c>
      <c r="J63" s="36"/>
      <c r="K63" s="36"/>
      <c r="L63" s="36"/>
    </row>
    <row r="64" spans="1:12" ht="93.75" x14ac:dyDescent="0.25">
      <c r="A64" s="115" t="s">
        <v>28</v>
      </c>
      <c r="B64" s="119" t="s">
        <v>5</v>
      </c>
      <c r="C64" s="119">
        <v>266</v>
      </c>
      <c r="D64" s="5">
        <f t="shared" si="0"/>
        <v>49999.92</v>
      </c>
      <c r="E64" s="2">
        <f t="shared" ref="E64" si="37">E65+E66</f>
        <v>49999.92</v>
      </c>
      <c r="F64" s="2">
        <f t="shared" ref="F64" si="38">F65+F66</f>
        <v>0</v>
      </c>
      <c r="G64" s="5">
        <f t="shared" si="34"/>
        <v>49999.92</v>
      </c>
      <c r="H64" s="2">
        <f t="shared" ref="H64" si="39">H65+H66</f>
        <v>49999.92</v>
      </c>
      <c r="I64" s="2">
        <f t="shared" ref="I64" si="40">I65+I66</f>
        <v>0</v>
      </c>
      <c r="J64" s="36"/>
      <c r="K64" s="36"/>
      <c r="L64" s="36"/>
    </row>
    <row r="65" spans="1:12" ht="18.75" x14ac:dyDescent="0.25">
      <c r="A65" s="216" t="s">
        <v>6</v>
      </c>
      <c r="B65" s="119">
        <v>111</v>
      </c>
      <c r="C65" s="119">
        <v>266</v>
      </c>
      <c r="D65" s="5">
        <f t="shared" si="0"/>
        <v>49999.92</v>
      </c>
      <c r="E65" s="2">
        <v>49999.92</v>
      </c>
      <c r="F65" s="2">
        <v>0</v>
      </c>
      <c r="G65" s="5">
        <f t="shared" si="34"/>
        <v>49999.92</v>
      </c>
      <c r="H65" s="2">
        <v>49999.92</v>
      </c>
      <c r="I65" s="2">
        <v>0</v>
      </c>
      <c r="J65" s="36"/>
      <c r="K65" s="36"/>
      <c r="L65" s="36"/>
    </row>
    <row r="66" spans="1:12" ht="18.75" x14ac:dyDescent="0.25">
      <c r="A66" s="216"/>
      <c r="B66" s="119">
        <v>112</v>
      </c>
      <c r="C66" s="119">
        <v>266</v>
      </c>
      <c r="D66" s="5">
        <f t="shared" si="0"/>
        <v>0</v>
      </c>
      <c r="E66" s="2">
        <v>0</v>
      </c>
      <c r="F66" s="2">
        <v>0</v>
      </c>
      <c r="G66" s="5">
        <f t="shared" si="34"/>
        <v>0</v>
      </c>
      <c r="H66" s="2">
        <v>0</v>
      </c>
      <c r="I66" s="2">
        <v>0</v>
      </c>
      <c r="J66" s="36"/>
      <c r="K66" s="36"/>
      <c r="L66" s="36"/>
    </row>
    <row r="67" spans="1:12" ht="75" x14ac:dyDescent="0.25">
      <c r="A67" s="115" t="s">
        <v>29</v>
      </c>
      <c r="B67" s="119">
        <v>112</v>
      </c>
      <c r="C67" s="119">
        <v>267</v>
      </c>
      <c r="D67" s="5">
        <f t="shared" si="0"/>
        <v>0</v>
      </c>
      <c r="E67" s="2">
        <v>0</v>
      </c>
      <c r="F67" s="2">
        <v>0</v>
      </c>
      <c r="G67" s="5">
        <f t="shared" si="34"/>
        <v>0</v>
      </c>
      <c r="H67" s="2">
        <v>0</v>
      </c>
      <c r="I67" s="2">
        <v>0</v>
      </c>
      <c r="J67" s="36"/>
      <c r="K67" s="36"/>
      <c r="L67" s="36"/>
    </row>
    <row r="68" spans="1:12" ht="18.75" x14ac:dyDescent="0.25">
      <c r="A68" s="115" t="s">
        <v>30</v>
      </c>
      <c r="B68" s="119" t="s">
        <v>5</v>
      </c>
      <c r="C68" s="119">
        <v>290</v>
      </c>
      <c r="D68" s="5">
        <f t="shared" si="0"/>
        <v>19914893.379999999</v>
      </c>
      <c r="E68" s="2">
        <f>E70+E74+E75+E76+E77+E84</f>
        <v>19914893.379999999</v>
      </c>
      <c r="F68" s="2">
        <f>F70+F74+F75+F76+F77+F84</f>
        <v>0</v>
      </c>
      <c r="G68" s="5">
        <f t="shared" si="34"/>
        <v>19914893.379999999</v>
      </c>
      <c r="H68" s="2">
        <f>H70+H74+H75+H76+H77+H84</f>
        <v>19914893.379999999</v>
      </c>
      <c r="I68" s="2">
        <f>I70+I74+I75+I76+I77+I84</f>
        <v>0</v>
      </c>
      <c r="J68" s="36"/>
      <c r="K68" s="36"/>
      <c r="L68" s="36"/>
    </row>
    <row r="69" spans="1:12" ht="18.75" x14ac:dyDescent="0.25">
      <c r="A69" s="115" t="s">
        <v>9</v>
      </c>
      <c r="B69" s="119"/>
      <c r="C69" s="119"/>
      <c r="D69" s="5">
        <f t="shared" si="0"/>
        <v>0</v>
      </c>
      <c r="E69" s="2"/>
      <c r="F69" s="2"/>
      <c r="G69" s="5">
        <f t="shared" si="34"/>
        <v>0</v>
      </c>
      <c r="H69" s="2"/>
      <c r="I69" s="2"/>
      <c r="J69" s="36"/>
      <c r="K69" s="36"/>
      <c r="L69" s="36"/>
    </row>
    <row r="70" spans="1:12" ht="37.5" x14ac:dyDescent="0.25">
      <c r="A70" s="115" t="s">
        <v>31</v>
      </c>
      <c r="B70" s="119" t="s">
        <v>5</v>
      </c>
      <c r="C70" s="119">
        <v>291</v>
      </c>
      <c r="D70" s="5">
        <f t="shared" si="0"/>
        <v>19914893.379999999</v>
      </c>
      <c r="E70" s="2">
        <f t="shared" ref="E70" si="41">E71+E72+E73</f>
        <v>19914893.379999999</v>
      </c>
      <c r="F70" s="2">
        <f t="shared" ref="F70" si="42">F71+F72+F73</f>
        <v>0</v>
      </c>
      <c r="G70" s="5">
        <f t="shared" si="34"/>
        <v>19914893.379999999</v>
      </c>
      <c r="H70" s="2">
        <f t="shared" ref="H70" si="43">H71+H72+H73</f>
        <v>19914893.379999999</v>
      </c>
      <c r="I70" s="2">
        <f t="shared" ref="I70" si="44">I71+I72+I73</f>
        <v>0</v>
      </c>
      <c r="J70" s="36"/>
      <c r="K70" s="36"/>
      <c r="L70" s="36"/>
    </row>
    <row r="71" spans="1:12" ht="18.75" x14ac:dyDescent="0.25">
      <c r="A71" s="216" t="s">
        <v>6</v>
      </c>
      <c r="B71" s="119">
        <v>851</v>
      </c>
      <c r="C71" s="119">
        <v>291</v>
      </c>
      <c r="D71" s="5">
        <f t="shared" si="0"/>
        <v>19861943.379999999</v>
      </c>
      <c r="E71" s="2">
        <v>19861943.379999999</v>
      </c>
      <c r="F71" s="2">
        <v>0</v>
      </c>
      <c r="G71" s="5">
        <f t="shared" si="34"/>
        <v>19861943.379999999</v>
      </c>
      <c r="H71" s="2">
        <v>19861943.379999999</v>
      </c>
      <c r="I71" s="2">
        <v>0</v>
      </c>
      <c r="J71" s="36"/>
      <c r="K71" s="36"/>
      <c r="L71" s="36"/>
    </row>
    <row r="72" spans="1:12" ht="57" customHeight="1" x14ac:dyDescent="0.25">
      <c r="A72" s="216"/>
      <c r="B72" s="119">
        <v>852</v>
      </c>
      <c r="C72" s="119">
        <v>291</v>
      </c>
      <c r="D72" s="5">
        <f t="shared" si="0"/>
        <v>51650</v>
      </c>
      <c r="E72" s="2">
        <v>51650</v>
      </c>
      <c r="F72" s="2">
        <v>0</v>
      </c>
      <c r="G72" s="5">
        <f t="shared" si="34"/>
        <v>51650</v>
      </c>
      <c r="H72" s="2">
        <v>51650</v>
      </c>
      <c r="I72" s="2">
        <v>0</v>
      </c>
      <c r="J72" s="36"/>
      <c r="K72" s="36"/>
      <c r="L72" s="36"/>
    </row>
    <row r="73" spans="1:12" ht="18.75" x14ac:dyDescent="0.25">
      <c r="A73" s="216"/>
      <c r="B73" s="119">
        <v>853</v>
      </c>
      <c r="C73" s="119">
        <v>291</v>
      </c>
      <c r="D73" s="5">
        <f t="shared" si="0"/>
        <v>1300</v>
      </c>
      <c r="E73" s="2">
        <v>1300</v>
      </c>
      <c r="F73" s="2">
        <v>0</v>
      </c>
      <c r="G73" s="5">
        <f t="shared" si="34"/>
        <v>1300</v>
      </c>
      <c r="H73" s="2">
        <v>1300</v>
      </c>
      <c r="I73" s="2">
        <v>0</v>
      </c>
      <c r="J73" s="36"/>
      <c r="K73" s="36"/>
      <c r="L73" s="36"/>
    </row>
    <row r="74" spans="1:12" ht="112.5" x14ac:dyDescent="0.25">
      <c r="A74" s="115" t="s">
        <v>32</v>
      </c>
      <c r="B74" s="119">
        <v>853</v>
      </c>
      <c r="C74" s="119">
        <v>292</v>
      </c>
      <c r="D74" s="5">
        <f t="shared" si="0"/>
        <v>0</v>
      </c>
      <c r="E74" s="2">
        <v>0</v>
      </c>
      <c r="F74" s="2">
        <v>0</v>
      </c>
      <c r="G74" s="5">
        <f t="shared" si="34"/>
        <v>0</v>
      </c>
      <c r="H74" s="2">
        <v>0</v>
      </c>
      <c r="I74" s="2">
        <v>0</v>
      </c>
      <c r="J74" s="36"/>
      <c r="K74" s="36"/>
      <c r="L74" s="36"/>
    </row>
    <row r="75" spans="1:12" ht="131.25" x14ac:dyDescent="0.25">
      <c r="A75" s="115" t="s">
        <v>33</v>
      </c>
      <c r="B75" s="119">
        <v>853</v>
      </c>
      <c r="C75" s="119">
        <v>293</v>
      </c>
      <c r="D75" s="5">
        <f t="shared" si="0"/>
        <v>0</v>
      </c>
      <c r="E75" s="2">
        <v>0</v>
      </c>
      <c r="F75" s="2">
        <v>0</v>
      </c>
      <c r="G75" s="5">
        <f t="shared" si="34"/>
        <v>0</v>
      </c>
      <c r="H75" s="2">
        <v>0</v>
      </c>
      <c r="I75" s="2">
        <v>0</v>
      </c>
      <c r="J75" s="36"/>
      <c r="K75" s="36"/>
      <c r="L75" s="36"/>
    </row>
    <row r="76" spans="1:12" ht="56.25" x14ac:dyDescent="0.25">
      <c r="A76" s="115" t="s">
        <v>158</v>
      </c>
      <c r="B76" s="119">
        <v>853</v>
      </c>
      <c r="C76" s="119">
        <v>295</v>
      </c>
      <c r="D76" s="5">
        <f t="shared" si="0"/>
        <v>0</v>
      </c>
      <c r="E76" s="2">
        <v>0</v>
      </c>
      <c r="F76" s="2">
        <v>0</v>
      </c>
      <c r="G76" s="5">
        <f t="shared" si="34"/>
        <v>0</v>
      </c>
      <c r="H76" s="2">
        <v>0</v>
      </c>
      <c r="I76" s="2">
        <v>0</v>
      </c>
      <c r="J76" s="36"/>
      <c r="K76" s="36"/>
      <c r="L76" s="36"/>
    </row>
    <row r="77" spans="1:12" ht="56.25" x14ac:dyDescent="0.25">
      <c r="A77" s="115" t="s">
        <v>34</v>
      </c>
      <c r="B77" s="119" t="s">
        <v>5</v>
      </c>
      <c r="C77" s="119">
        <v>296</v>
      </c>
      <c r="D77" s="5">
        <f t="shared" si="0"/>
        <v>0</v>
      </c>
      <c r="E77" s="2">
        <f t="shared" ref="E77" si="45">E78+E79+E80+E81+E83</f>
        <v>0</v>
      </c>
      <c r="F77" s="2">
        <f t="shared" ref="F77" si="46">F78+F79+F80+F81+F83</f>
        <v>0</v>
      </c>
      <c r="G77" s="5">
        <f t="shared" si="34"/>
        <v>0</v>
      </c>
      <c r="H77" s="2">
        <f t="shared" ref="H77" si="47">H78+H79+H80+H81+H83</f>
        <v>0</v>
      </c>
      <c r="I77" s="2">
        <f t="shared" ref="I77" si="48">I78+I79+I80+I81+I83</f>
        <v>0</v>
      </c>
      <c r="J77" s="36"/>
      <c r="K77" s="36"/>
      <c r="L77" s="36"/>
    </row>
    <row r="78" spans="1:12" ht="18.75" x14ac:dyDescent="0.25">
      <c r="A78" s="216" t="s">
        <v>6</v>
      </c>
      <c r="B78" s="119">
        <v>244</v>
      </c>
      <c r="C78" s="119">
        <v>296</v>
      </c>
      <c r="D78" s="5">
        <f t="shared" si="0"/>
        <v>0</v>
      </c>
      <c r="E78" s="2">
        <v>0</v>
      </c>
      <c r="F78" s="2">
        <v>0</v>
      </c>
      <c r="G78" s="5">
        <f t="shared" si="34"/>
        <v>0</v>
      </c>
      <c r="H78" s="2">
        <v>0</v>
      </c>
      <c r="I78" s="2">
        <v>0</v>
      </c>
      <c r="J78" s="36"/>
      <c r="K78" s="36"/>
      <c r="L78" s="36"/>
    </row>
    <row r="79" spans="1:12" ht="18.75" x14ac:dyDescent="0.25">
      <c r="A79" s="216"/>
      <c r="B79" s="119">
        <v>340</v>
      </c>
      <c r="C79" s="119">
        <v>296</v>
      </c>
      <c r="D79" s="5">
        <f t="shared" si="0"/>
        <v>0</v>
      </c>
      <c r="E79" s="2">
        <v>0</v>
      </c>
      <c r="F79" s="2">
        <v>0</v>
      </c>
      <c r="G79" s="5">
        <f t="shared" si="34"/>
        <v>0</v>
      </c>
      <c r="H79" s="2">
        <v>0</v>
      </c>
      <c r="I79" s="2">
        <v>0</v>
      </c>
      <c r="J79" s="36"/>
      <c r="K79" s="36"/>
      <c r="L79" s="36"/>
    </row>
    <row r="80" spans="1:12" ht="18.75" x14ac:dyDescent="0.25">
      <c r="A80" s="216"/>
      <c r="B80" s="119">
        <v>350</v>
      </c>
      <c r="C80" s="119">
        <v>296</v>
      </c>
      <c r="D80" s="5">
        <f t="shared" si="0"/>
        <v>0</v>
      </c>
      <c r="E80" s="2">
        <v>0</v>
      </c>
      <c r="F80" s="2">
        <v>0</v>
      </c>
      <c r="G80" s="5">
        <f t="shared" si="34"/>
        <v>0</v>
      </c>
      <c r="H80" s="2">
        <v>0</v>
      </c>
      <c r="I80" s="2">
        <v>0</v>
      </c>
      <c r="J80" s="36"/>
      <c r="K80" s="36"/>
      <c r="L80" s="36"/>
    </row>
    <row r="81" spans="1:12" ht="18.75" x14ac:dyDescent="0.25">
      <c r="A81" s="216"/>
      <c r="B81" s="119">
        <v>360</v>
      </c>
      <c r="C81" s="119">
        <v>296</v>
      </c>
      <c r="D81" s="5">
        <f t="shared" si="0"/>
        <v>0</v>
      </c>
      <c r="E81" s="2">
        <v>0</v>
      </c>
      <c r="F81" s="2">
        <v>0</v>
      </c>
      <c r="G81" s="5">
        <f t="shared" si="34"/>
        <v>0</v>
      </c>
      <c r="H81" s="2">
        <v>0</v>
      </c>
      <c r="I81" s="2">
        <v>0</v>
      </c>
      <c r="J81" s="36"/>
      <c r="K81" s="36"/>
      <c r="L81" s="36"/>
    </row>
    <row r="82" spans="1:12" ht="18.75" x14ac:dyDescent="0.25">
      <c r="A82" s="216"/>
      <c r="B82" s="215">
        <v>831</v>
      </c>
      <c r="C82" s="215">
        <v>296</v>
      </c>
      <c r="D82" s="5">
        <f t="shared" ref="D82" si="49">E82+F82</f>
        <v>0</v>
      </c>
      <c r="E82" s="2">
        <v>0</v>
      </c>
      <c r="F82" s="2">
        <v>0</v>
      </c>
      <c r="G82" s="5">
        <f t="shared" ref="G82" si="50">H82+I82</f>
        <v>0</v>
      </c>
      <c r="H82" s="2">
        <v>0</v>
      </c>
      <c r="I82" s="2">
        <v>0</v>
      </c>
      <c r="J82" s="36"/>
      <c r="K82" s="36"/>
      <c r="L82" s="36"/>
    </row>
    <row r="83" spans="1:12" ht="18.75" x14ac:dyDescent="0.25">
      <c r="A83" s="216"/>
      <c r="B83" s="119">
        <v>853</v>
      </c>
      <c r="C83" s="119">
        <v>296</v>
      </c>
      <c r="D83" s="5">
        <f t="shared" ref="D83:D106" si="51">E83+F83</f>
        <v>0</v>
      </c>
      <c r="E83" s="2">
        <v>0</v>
      </c>
      <c r="F83" s="2">
        <v>0</v>
      </c>
      <c r="G83" s="5">
        <f t="shared" si="34"/>
        <v>0</v>
      </c>
      <c r="H83" s="2">
        <v>0</v>
      </c>
      <c r="I83" s="2">
        <v>0</v>
      </c>
      <c r="J83" s="36"/>
      <c r="K83" s="36"/>
      <c r="L83" s="36"/>
    </row>
    <row r="84" spans="1:12" ht="57.6" customHeight="1" x14ac:dyDescent="0.25">
      <c r="A84" s="115" t="s">
        <v>35</v>
      </c>
      <c r="B84" s="119" t="s">
        <v>5</v>
      </c>
      <c r="C84" s="119">
        <v>297</v>
      </c>
      <c r="D84" s="5">
        <f>E84+F84</f>
        <v>0</v>
      </c>
      <c r="E84" s="2">
        <f>E85+E86+E87</f>
        <v>0</v>
      </c>
      <c r="F84" s="2">
        <f t="shared" ref="F84:I84" si="52">F85+F86+F87</f>
        <v>0</v>
      </c>
      <c r="G84" s="2">
        <f t="shared" si="52"/>
        <v>0</v>
      </c>
      <c r="H84" s="2">
        <f t="shared" si="52"/>
        <v>0</v>
      </c>
      <c r="I84" s="2">
        <f t="shared" si="52"/>
        <v>0</v>
      </c>
      <c r="J84" s="36"/>
      <c r="K84" s="36"/>
      <c r="L84" s="36"/>
    </row>
    <row r="85" spans="1:12" ht="18.75" x14ac:dyDescent="0.25">
      <c r="A85" s="317" t="s">
        <v>6</v>
      </c>
      <c r="B85" s="119">
        <v>244</v>
      </c>
      <c r="C85" s="119">
        <v>297</v>
      </c>
      <c r="D85" s="5">
        <f t="shared" si="51"/>
        <v>0</v>
      </c>
      <c r="E85" s="2">
        <v>0</v>
      </c>
      <c r="F85" s="2">
        <v>0</v>
      </c>
      <c r="G85" s="5">
        <f>H85+I85</f>
        <v>0</v>
      </c>
      <c r="H85" s="2">
        <v>0</v>
      </c>
      <c r="I85" s="2">
        <v>0</v>
      </c>
      <c r="J85" s="36"/>
      <c r="K85" s="36"/>
      <c r="L85" s="36"/>
    </row>
    <row r="86" spans="1:12" ht="18.75" x14ac:dyDescent="0.25">
      <c r="A86" s="318"/>
      <c r="B86" s="192">
        <v>831</v>
      </c>
      <c r="C86" s="192">
        <v>297</v>
      </c>
      <c r="D86" s="5">
        <f t="shared" si="51"/>
        <v>0</v>
      </c>
      <c r="E86" s="2">
        <v>0</v>
      </c>
      <c r="F86" s="2">
        <v>0</v>
      </c>
      <c r="G86" s="5">
        <f>H86+I86</f>
        <v>0</v>
      </c>
      <c r="H86" s="2">
        <v>0</v>
      </c>
      <c r="I86" s="2">
        <v>0</v>
      </c>
      <c r="J86" s="36"/>
      <c r="K86" s="36"/>
      <c r="L86" s="36"/>
    </row>
    <row r="87" spans="1:12" ht="18.75" x14ac:dyDescent="0.25">
      <c r="A87" s="319"/>
      <c r="B87" s="119">
        <v>853</v>
      </c>
      <c r="C87" s="119">
        <v>297</v>
      </c>
      <c r="D87" s="5">
        <f t="shared" si="51"/>
        <v>0</v>
      </c>
      <c r="E87" s="2">
        <v>0</v>
      </c>
      <c r="F87" s="2">
        <v>0</v>
      </c>
      <c r="G87" s="5">
        <f t="shared" si="34"/>
        <v>0</v>
      </c>
      <c r="H87" s="2">
        <v>0</v>
      </c>
      <c r="I87" s="2">
        <v>0</v>
      </c>
      <c r="J87" s="36"/>
      <c r="K87" s="36"/>
      <c r="L87" s="36"/>
    </row>
    <row r="88" spans="1:12" ht="56.25" x14ac:dyDescent="0.25">
      <c r="A88" s="115" t="s">
        <v>59</v>
      </c>
      <c r="B88" s="119" t="s">
        <v>5</v>
      </c>
      <c r="C88" s="119">
        <v>300</v>
      </c>
      <c r="D88" s="5">
        <f t="shared" si="51"/>
        <v>9401903.6199999992</v>
      </c>
      <c r="E88" s="2">
        <f>E90+E92+E91</f>
        <v>9401903.6199999992</v>
      </c>
      <c r="F88" s="2">
        <f>F90+F92+F91</f>
        <v>0</v>
      </c>
      <c r="G88" s="5">
        <f t="shared" si="34"/>
        <v>9401903.6199999992</v>
      </c>
      <c r="H88" s="2">
        <f>H90+H92+H91</f>
        <v>9401903.6199999992</v>
      </c>
      <c r="I88" s="2">
        <f>I90+I92+I91</f>
        <v>0</v>
      </c>
      <c r="J88" s="36"/>
      <c r="K88" s="36"/>
      <c r="L88" s="36"/>
    </row>
    <row r="89" spans="1:12" ht="18.75" x14ac:dyDescent="0.25">
      <c r="A89" s="115" t="s">
        <v>9</v>
      </c>
      <c r="B89" s="119"/>
      <c r="C89" s="119"/>
      <c r="D89" s="5"/>
      <c r="E89" s="2"/>
      <c r="F89" s="2"/>
      <c r="G89" s="5"/>
      <c r="H89" s="2"/>
      <c r="I89" s="2"/>
      <c r="J89" s="36"/>
      <c r="K89" s="36"/>
      <c r="L89" s="36"/>
    </row>
    <row r="90" spans="1:12" ht="56.25" x14ac:dyDescent="0.25">
      <c r="A90" s="115" t="s">
        <v>36</v>
      </c>
      <c r="B90" s="119">
        <v>244</v>
      </c>
      <c r="C90" s="119">
        <v>310</v>
      </c>
      <c r="D90" s="5">
        <f t="shared" si="51"/>
        <v>0</v>
      </c>
      <c r="E90" s="2">
        <v>0</v>
      </c>
      <c r="F90" s="2">
        <v>0</v>
      </c>
      <c r="G90" s="5">
        <f t="shared" ref="G90:G92" si="53">H90+I90</f>
        <v>0</v>
      </c>
      <c r="H90" s="2">
        <v>0</v>
      </c>
      <c r="I90" s="2">
        <v>0</v>
      </c>
      <c r="J90" s="36"/>
      <c r="K90" s="36"/>
      <c r="L90" s="36"/>
    </row>
    <row r="91" spans="1:12" ht="75" x14ac:dyDescent="0.25">
      <c r="A91" s="115" t="s">
        <v>68</v>
      </c>
      <c r="B91" s="119">
        <v>244</v>
      </c>
      <c r="C91" s="119">
        <v>320</v>
      </c>
      <c r="D91" s="5">
        <f t="shared" si="51"/>
        <v>0</v>
      </c>
      <c r="E91" s="2">
        <v>0</v>
      </c>
      <c r="F91" s="2">
        <v>0</v>
      </c>
      <c r="G91" s="5">
        <f t="shared" si="53"/>
        <v>0</v>
      </c>
      <c r="H91" s="2">
        <v>0</v>
      </c>
      <c r="I91" s="2">
        <v>0</v>
      </c>
      <c r="J91" s="36"/>
      <c r="K91" s="36"/>
      <c r="L91" s="36"/>
    </row>
    <row r="92" spans="1:12" ht="75" x14ac:dyDescent="0.25">
      <c r="A92" s="115" t="s">
        <v>60</v>
      </c>
      <c r="B92" s="119" t="s">
        <v>5</v>
      </c>
      <c r="C92" s="119">
        <v>340</v>
      </c>
      <c r="D92" s="5">
        <f t="shared" si="51"/>
        <v>9401903.6199999992</v>
      </c>
      <c r="E92" s="2">
        <f>E94+E95+E96+E97+E98+E99+E101+E100</f>
        <v>9401903.6199999992</v>
      </c>
      <c r="F92" s="2">
        <f>F94+F95+F96+F97+F98+F99+F101</f>
        <v>0</v>
      </c>
      <c r="G92" s="5">
        <f t="shared" si="53"/>
        <v>9401903.6199999992</v>
      </c>
      <c r="H92" s="2">
        <f>H94+H95+H96+H97+H98+H99+H101+H100</f>
        <v>9401903.6199999992</v>
      </c>
      <c r="I92" s="2">
        <f>I94+I95+I96+I97+I98+I99+I101</f>
        <v>0</v>
      </c>
      <c r="J92" s="36"/>
      <c r="K92" s="36"/>
      <c r="L92" s="36"/>
    </row>
    <row r="93" spans="1:12" ht="18.75" x14ac:dyDescent="0.25">
      <c r="A93" s="115" t="s">
        <v>6</v>
      </c>
      <c r="B93" s="119"/>
      <c r="C93" s="119"/>
      <c r="D93" s="5"/>
      <c r="E93" s="2"/>
      <c r="F93" s="2"/>
      <c r="G93" s="5"/>
      <c r="H93" s="2"/>
      <c r="I93" s="2"/>
      <c r="J93" s="36"/>
      <c r="K93" s="36"/>
      <c r="L93" s="36"/>
    </row>
    <row r="94" spans="1:12" ht="131.25" x14ac:dyDescent="0.25">
      <c r="A94" s="115" t="s">
        <v>37</v>
      </c>
      <c r="B94" s="119">
        <v>244</v>
      </c>
      <c r="C94" s="119">
        <v>341</v>
      </c>
      <c r="D94" s="5">
        <f t="shared" si="51"/>
        <v>0</v>
      </c>
      <c r="E94" s="2">
        <v>0</v>
      </c>
      <c r="F94" s="2">
        <v>0</v>
      </c>
      <c r="G94" s="5">
        <f t="shared" ref="G94:G102" si="54">H94+I94</f>
        <v>0</v>
      </c>
      <c r="H94" s="2">
        <v>0</v>
      </c>
      <c r="I94" s="2">
        <v>0</v>
      </c>
      <c r="J94" s="36"/>
      <c r="K94" s="36"/>
      <c r="L94" s="36"/>
    </row>
    <row r="95" spans="1:12" ht="56.25" x14ac:dyDescent="0.25">
      <c r="A95" s="115" t="s">
        <v>38</v>
      </c>
      <c r="B95" s="119">
        <v>244</v>
      </c>
      <c r="C95" s="119">
        <v>342</v>
      </c>
      <c r="D95" s="5">
        <f t="shared" si="51"/>
        <v>0</v>
      </c>
      <c r="E95" s="2">
        <v>0</v>
      </c>
      <c r="F95" s="2">
        <v>0</v>
      </c>
      <c r="G95" s="5">
        <f t="shared" si="54"/>
        <v>0</v>
      </c>
      <c r="H95" s="2">
        <v>0</v>
      </c>
      <c r="I95" s="2">
        <v>0</v>
      </c>
      <c r="J95" s="36"/>
      <c r="K95" s="36"/>
      <c r="L95" s="36"/>
    </row>
    <row r="96" spans="1:12" ht="75" x14ac:dyDescent="0.25">
      <c r="A96" s="115" t="s">
        <v>39</v>
      </c>
      <c r="B96" s="119">
        <v>244</v>
      </c>
      <c r="C96" s="119">
        <v>343</v>
      </c>
      <c r="D96" s="5">
        <f t="shared" si="51"/>
        <v>290000</v>
      </c>
      <c r="E96" s="2">
        <v>290000</v>
      </c>
      <c r="F96" s="2">
        <v>0</v>
      </c>
      <c r="G96" s="5">
        <f t="shared" si="54"/>
        <v>290000</v>
      </c>
      <c r="H96" s="2">
        <v>290000</v>
      </c>
      <c r="I96" s="2">
        <v>0</v>
      </c>
      <c r="J96" s="36"/>
      <c r="K96" s="36"/>
      <c r="L96" s="36"/>
    </row>
    <row r="97" spans="1:12" ht="75" x14ac:dyDescent="0.25">
      <c r="A97" s="115" t="s">
        <v>40</v>
      </c>
      <c r="B97" s="119">
        <v>244</v>
      </c>
      <c r="C97" s="119">
        <v>344</v>
      </c>
      <c r="D97" s="5">
        <f t="shared" si="51"/>
        <v>200000</v>
      </c>
      <c r="E97" s="2">
        <v>200000</v>
      </c>
      <c r="F97" s="2">
        <v>0</v>
      </c>
      <c r="G97" s="5">
        <f t="shared" si="54"/>
        <v>200000</v>
      </c>
      <c r="H97" s="2">
        <v>200000</v>
      </c>
      <c r="I97" s="2">
        <v>0</v>
      </c>
      <c r="J97" s="36"/>
      <c r="K97" s="36"/>
      <c r="L97" s="36"/>
    </row>
    <row r="98" spans="1:12" ht="56.25" x14ac:dyDescent="0.25">
      <c r="A98" s="115" t="s">
        <v>41</v>
      </c>
      <c r="B98" s="119">
        <v>244</v>
      </c>
      <c r="C98" s="119">
        <v>345</v>
      </c>
      <c r="D98" s="5">
        <f t="shared" si="51"/>
        <v>334245</v>
      </c>
      <c r="E98" s="2">
        <v>334245</v>
      </c>
      <c r="F98" s="2">
        <v>0</v>
      </c>
      <c r="G98" s="5">
        <f t="shared" si="54"/>
        <v>334245</v>
      </c>
      <c r="H98" s="2">
        <v>334245</v>
      </c>
      <c r="I98" s="2">
        <v>0</v>
      </c>
      <c r="J98" s="36"/>
      <c r="K98" s="36"/>
      <c r="L98" s="36"/>
    </row>
    <row r="99" spans="1:12" ht="75" x14ac:dyDescent="0.25">
      <c r="A99" s="115" t="s">
        <v>42</v>
      </c>
      <c r="B99" s="119">
        <v>244</v>
      </c>
      <c r="C99" s="119">
        <v>346</v>
      </c>
      <c r="D99" s="5">
        <f t="shared" si="51"/>
        <v>8428958.6199999992</v>
      </c>
      <c r="E99" s="2">
        <v>8428958.6199999992</v>
      </c>
      <c r="F99" s="2">
        <v>0</v>
      </c>
      <c r="G99" s="5">
        <f t="shared" si="54"/>
        <v>8428958.6199999992</v>
      </c>
      <c r="H99" s="2">
        <v>8428958.6199999992</v>
      </c>
      <c r="I99" s="2">
        <v>0</v>
      </c>
      <c r="J99" s="36"/>
      <c r="K99" s="36"/>
      <c r="L99" s="36"/>
    </row>
    <row r="100" spans="1:12" ht="112.5" x14ac:dyDescent="0.25">
      <c r="A100" s="170" t="s">
        <v>347</v>
      </c>
      <c r="B100" s="171">
        <v>244</v>
      </c>
      <c r="C100" s="171">
        <v>347</v>
      </c>
      <c r="D100" s="5">
        <f>E100+F100</f>
        <v>0</v>
      </c>
      <c r="E100" s="2">
        <v>0</v>
      </c>
      <c r="F100" s="2">
        <v>0</v>
      </c>
      <c r="G100" s="5">
        <f>H100+I100</f>
        <v>0</v>
      </c>
      <c r="H100" s="2">
        <v>0</v>
      </c>
      <c r="I100" s="2">
        <v>0</v>
      </c>
      <c r="J100" s="36"/>
      <c r="K100" s="36"/>
      <c r="L100" s="36"/>
    </row>
    <row r="101" spans="1:12" ht="112.5" x14ac:dyDescent="0.25">
      <c r="A101" s="115" t="s">
        <v>43</v>
      </c>
      <c r="B101" s="119">
        <v>244</v>
      </c>
      <c r="C101" s="119">
        <v>349</v>
      </c>
      <c r="D101" s="5">
        <f t="shared" si="51"/>
        <v>148700</v>
      </c>
      <c r="E101" s="2">
        <v>148700</v>
      </c>
      <c r="F101" s="2">
        <v>0</v>
      </c>
      <c r="G101" s="5">
        <f t="shared" si="54"/>
        <v>148700</v>
      </c>
      <c r="H101" s="2">
        <v>148700</v>
      </c>
      <c r="I101" s="2">
        <v>0</v>
      </c>
      <c r="J101" s="36"/>
      <c r="K101" s="36"/>
      <c r="L101" s="36"/>
    </row>
    <row r="102" spans="1:12" ht="56.25" x14ac:dyDescent="0.25">
      <c r="A102" s="115" t="s">
        <v>67</v>
      </c>
      <c r="B102" s="119" t="s">
        <v>5</v>
      </c>
      <c r="C102" s="119" t="s">
        <v>5</v>
      </c>
      <c r="D102" s="5">
        <f t="shared" si="51"/>
        <v>0</v>
      </c>
      <c r="E102" s="2">
        <f t="shared" ref="E102" si="55">E104+E105+E106</f>
        <v>0</v>
      </c>
      <c r="F102" s="2">
        <f t="shared" ref="F102" si="56">F104+F105+F106</f>
        <v>0</v>
      </c>
      <c r="G102" s="5">
        <f t="shared" si="54"/>
        <v>0</v>
      </c>
      <c r="H102" s="2">
        <f t="shared" ref="H102" si="57">H104+H105+H106</f>
        <v>0</v>
      </c>
      <c r="I102" s="2">
        <f t="shared" ref="I102" si="58">I104+I105+I106</f>
        <v>0</v>
      </c>
      <c r="J102" s="36"/>
      <c r="K102" s="36"/>
      <c r="L102" s="36"/>
    </row>
    <row r="103" spans="1:12" ht="18.600000000000001" customHeight="1" x14ac:dyDescent="0.25">
      <c r="A103" s="115" t="s">
        <v>6</v>
      </c>
      <c r="B103" s="119"/>
      <c r="C103" s="119"/>
      <c r="D103" s="5"/>
      <c r="E103" s="2"/>
      <c r="F103" s="2"/>
      <c r="G103" s="5"/>
      <c r="H103" s="2"/>
      <c r="I103" s="2"/>
      <c r="J103" s="36"/>
      <c r="K103" s="36"/>
      <c r="L103" s="36"/>
    </row>
    <row r="104" spans="1:12" ht="18.75" x14ac:dyDescent="0.25">
      <c r="A104" s="115" t="s">
        <v>194</v>
      </c>
      <c r="B104" s="119">
        <v>180</v>
      </c>
      <c r="C104" s="119" t="s">
        <v>5</v>
      </c>
      <c r="D104" s="5">
        <f t="shared" si="51"/>
        <v>0</v>
      </c>
      <c r="E104" s="2"/>
      <c r="F104" s="2"/>
      <c r="G104" s="5">
        <f t="shared" ref="G104:G106" si="59">H104+I104</f>
        <v>0</v>
      </c>
      <c r="H104" s="2"/>
      <c r="I104" s="2"/>
      <c r="J104" s="36"/>
      <c r="K104" s="36"/>
      <c r="L104" s="36"/>
    </row>
    <row r="105" spans="1:12" ht="56.25" x14ac:dyDescent="0.25">
      <c r="A105" s="115" t="s">
        <v>195</v>
      </c>
      <c r="B105" s="119">
        <v>180</v>
      </c>
      <c r="C105" s="119" t="s">
        <v>5</v>
      </c>
      <c r="D105" s="5">
        <f t="shared" si="51"/>
        <v>0</v>
      </c>
      <c r="E105" s="2"/>
      <c r="F105" s="2"/>
      <c r="G105" s="5">
        <f t="shared" si="59"/>
        <v>0</v>
      </c>
      <c r="H105" s="2"/>
      <c r="I105" s="2"/>
      <c r="J105" s="36"/>
      <c r="K105" s="36"/>
      <c r="L105" s="36"/>
    </row>
    <row r="106" spans="1:12" ht="57" thickBot="1" x14ac:dyDescent="0.3">
      <c r="A106" s="32" t="s">
        <v>196</v>
      </c>
      <c r="B106" s="33">
        <v>180</v>
      </c>
      <c r="C106" s="33" t="s">
        <v>5</v>
      </c>
      <c r="D106" s="34">
        <f t="shared" si="51"/>
        <v>0</v>
      </c>
      <c r="E106" s="35"/>
      <c r="F106" s="35"/>
      <c r="G106" s="34">
        <f t="shared" si="59"/>
        <v>0</v>
      </c>
      <c r="H106" s="35"/>
      <c r="I106" s="35"/>
      <c r="J106" s="36"/>
      <c r="K106" s="36"/>
      <c r="L106" s="36"/>
    </row>
    <row r="107" spans="1:12" ht="18.75" x14ac:dyDescent="0.25">
      <c r="A107" s="15"/>
      <c r="B107" s="19"/>
      <c r="C107" s="19"/>
      <c r="D107" s="36"/>
      <c r="E107" s="36"/>
      <c r="F107" s="36"/>
    </row>
    <row r="108" spans="1:12" x14ac:dyDescent="0.25">
      <c r="A108" s="11"/>
    </row>
    <row r="109" spans="1:12" ht="37.5" x14ac:dyDescent="0.3">
      <c r="A109" s="29" t="s">
        <v>52</v>
      </c>
      <c r="B109" s="219"/>
      <c r="C109" s="219"/>
      <c r="D109" s="10"/>
      <c r="E109" s="219" t="s">
        <v>465</v>
      </c>
      <c r="F109" s="219"/>
    </row>
    <row r="110" spans="1:12" ht="18.75" x14ac:dyDescent="0.3">
      <c r="A110" s="29"/>
      <c r="B110" s="218" t="s">
        <v>53</v>
      </c>
      <c r="C110" s="218"/>
      <c r="D110" s="10"/>
      <c r="E110" s="218" t="s">
        <v>54</v>
      </c>
      <c r="F110" s="218"/>
    </row>
    <row r="111" spans="1:12" ht="18.75" x14ac:dyDescent="0.3">
      <c r="A111" s="29"/>
      <c r="B111" s="10"/>
      <c r="C111" s="10"/>
      <c r="D111" s="10"/>
      <c r="E111" s="10"/>
      <c r="F111" s="10"/>
    </row>
    <row r="112" spans="1:12" ht="37.5" x14ac:dyDescent="0.3">
      <c r="A112" s="29" t="s">
        <v>55</v>
      </c>
      <c r="B112" s="219"/>
      <c r="C112" s="219"/>
      <c r="D112" s="10"/>
      <c r="E112" s="219" t="s">
        <v>341</v>
      </c>
      <c r="F112" s="219"/>
    </row>
    <row r="113" spans="1:16" ht="18.75" x14ac:dyDescent="0.3">
      <c r="A113" s="29"/>
      <c r="B113" s="218" t="s">
        <v>53</v>
      </c>
      <c r="C113" s="218"/>
      <c r="D113" s="10"/>
      <c r="E113" s="218" t="s">
        <v>54</v>
      </c>
      <c r="F113" s="218"/>
    </row>
    <row r="114" spans="1:16" ht="18.75" x14ac:dyDescent="0.3">
      <c r="A114" s="29"/>
      <c r="B114" s="116"/>
      <c r="C114" s="116"/>
      <c r="D114" s="10"/>
      <c r="E114" s="116"/>
      <c r="F114" s="116"/>
    </row>
    <row r="115" spans="1:16" ht="18.75" x14ac:dyDescent="0.3">
      <c r="A115" s="29" t="s">
        <v>56</v>
      </c>
      <c r="B115" s="219"/>
      <c r="C115" s="219"/>
      <c r="D115" s="10"/>
      <c r="E115" s="219" t="s">
        <v>341</v>
      </c>
      <c r="F115" s="219"/>
    </row>
    <row r="116" spans="1:16" ht="18.75" x14ac:dyDescent="0.3">
      <c r="A116" s="29"/>
      <c r="B116" s="218" t="s">
        <v>53</v>
      </c>
      <c r="C116" s="218"/>
      <c r="D116" s="10"/>
      <c r="E116" s="218" t="s">
        <v>54</v>
      </c>
      <c r="F116" s="218"/>
    </row>
    <row r="117" spans="1:16" ht="18.75" x14ac:dyDescent="0.3">
      <c r="A117" s="29" t="s">
        <v>57</v>
      </c>
      <c r="B117" s="10"/>
      <c r="C117" s="10"/>
      <c r="D117" s="10"/>
      <c r="E117" s="10"/>
      <c r="F117" s="10"/>
    </row>
    <row r="118" spans="1:16" ht="18.75" x14ac:dyDescent="0.3">
      <c r="A118" s="217" t="s">
        <v>44</v>
      </c>
      <c r="B118" s="217"/>
      <c r="C118" s="10"/>
      <c r="D118" s="10"/>
      <c r="E118" s="10"/>
      <c r="F118" s="10"/>
    </row>
    <row r="119" spans="1:16" ht="18.75" x14ac:dyDescent="0.25">
      <c r="A119" s="314" t="s">
        <v>192</v>
      </c>
      <c r="B119" s="314"/>
      <c r="C119" s="314"/>
      <c r="D119" s="314"/>
      <c r="E119" s="314"/>
      <c r="F119" s="314"/>
      <c r="G119" s="314"/>
      <c r="H119" s="314"/>
      <c r="I119" s="314"/>
      <c r="K119" s="313" t="s">
        <v>233</v>
      </c>
      <c r="L119" s="313"/>
      <c r="M119" s="313"/>
      <c r="N119" s="313" t="s">
        <v>234</v>
      </c>
      <c r="O119" s="313"/>
      <c r="P119" s="313"/>
    </row>
    <row r="120" spans="1:16" ht="112.5" x14ac:dyDescent="0.25">
      <c r="A120" s="54" t="s">
        <v>69</v>
      </c>
      <c r="B120" s="58" t="s">
        <v>5</v>
      </c>
      <c r="C120" s="58" t="s">
        <v>5</v>
      </c>
      <c r="D120" s="5">
        <f t="shared" ref="D120:D121" si="60">E120+F120</f>
        <v>0</v>
      </c>
      <c r="E120" s="2"/>
      <c r="F120" s="4"/>
      <c r="G120" s="5">
        <f t="shared" ref="G120:G121" si="61">H120+I120</f>
        <v>0</v>
      </c>
      <c r="H120" s="2"/>
      <c r="I120" s="4"/>
      <c r="J120" s="36"/>
      <c r="K120" s="71" t="s">
        <v>230</v>
      </c>
      <c r="L120" s="71" t="s">
        <v>231</v>
      </c>
      <c r="M120" s="71" t="s">
        <v>232</v>
      </c>
      <c r="N120" s="71" t="s">
        <v>230</v>
      </c>
      <c r="O120" s="71" t="s">
        <v>231</v>
      </c>
      <c r="P120" s="71" t="s">
        <v>232</v>
      </c>
    </row>
    <row r="121" spans="1:16" ht="18.75" x14ac:dyDescent="0.25">
      <c r="A121" s="54" t="s">
        <v>7</v>
      </c>
      <c r="B121" s="58" t="s">
        <v>5</v>
      </c>
      <c r="C121" s="58">
        <v>900</v>
      </c>
      <c r="D121" s="5">
        <f t="shared" si="60"/>
        <v>84899736.810000017</v>
      </c>
      <c r="E121" s="2">
        <f>E124+E154+E169+E199</f>
        <v>84899736.810000017</v>
      </c>
      <c r="F121" s="2">
        <f>F124+F154</f>
        <v>0</v>
      </c>
      <c r="G121" s="5">
        <f t="shared" si="61"/>
        <v>84899736.810000017</v>
      </c>
      <c r="H121" s="2">
        <f>H124+H154+H169+H199</f>
        <v>84899736.810000017</v>
      </c>
      <c r="I121" s="2">
        <f>I124+I154</f>
        <v>0</v>
      </c>
      <c r="J121" s="36"/>
      <c r="K121" s="72">
        <f>E26+E27+E28+E30+E36+E54+E55+E56+E62+E65+E66+E67+E71+E72+E73+E74+E75+E76+E79+E80+E81+E83+E87</f>
        <v>79709284.929999992</v>
      </c>
      <c r="L121" s="72">
        <f>K121+D121</f>
        <v>164609021.74000001</v>
      </c>
      <c r="M121" s="72">
        <f>L121-E20</f>
        <v>0</v>
      </c>
      <c r="N121" s="72">
        <f>H26+H27+H28+H30+H36+H54+H55+H56+H62+H65+H66+H67+H71+H72+H73+H74+H75+H76+H79+H80+H81+H83+H87</f>
        <v>79709284.929999992</v>
      </c>
      <c r="O121" s="72">
        <f>N121+G121</f>
        <v>164609021.74000001</v>
      </c>
      <c r="P121" s="72">
        <f>O121-H20</f>
        <v>0</v>
      </c>
    </row>
    <row r="122" spans="1:16" ht="18.75" x14ac:dyDescent="0.25">
      <c r="A122" s="54" t="s">
        <v>6</v>
      </c>
      <c r="B122" s="58"/>
      <c r="C122" s="58"/>
      <c r="D122" s="5"/>
      <c r="E122" s="2"/>
      <c r="F122" s="4"/>
      <c r="G122" s="5"/>
      <c r="H122" s="2"/>
      <c r="I122" s="4"/>
      <c r="J122" s="36"/>
      <c r="K122" s="36"/>
      <c r="L122" s="36"/>
    </row>
    <row r="123" spans="1:16" ht="17.45" customHeight="1" x14ac:dyDescent="0.25">
      <c r="A123" s="315" t="s">
        <v>200</v>
      </c>
      <c r="B123" s="316"/>
      <c r="C123" s="316"/>
      <c r="D123" s="316"/>
      <c r="E123" s="316"/>
      <c r="F123" s="316"/>
      <c r="G123" s="316"/>
      <c r="H123" s="316"/>
      <c r="I123" s="316"/>
      <c r="J123" s="76"/>
      <c r="K123" s="76"/>
      <c r="L123" s="76"/>
    </row>
    <row r="124" spans="1:16" ht="18.75" x14ac:dyDescent="0.25">
      <c r="A124" s="54" t="s">
        <v>8</v>
      </c>
      <c r="B124" s="58" t="s">
        <v>5</v>
      </c>
      <c r="C124" s="58">
        <v>200</v>
      </c>
      <c r="D124" s="5">
        <f t="shared" ref="D124:D157" si="62">E124+F124</f>
        <v>0</v>
      </c>
      <c r="E124" s="2">
        <f>E126+E129+E150</f>
        <v>0</v>
      </c>
      <c r="F124" s="2">
        <f>F126+F129+F150</f>
        <v>0</v>
      </c>
      <c r="G124" s="5">
        <f t="shared" ref="G124" si="63">H124+I124</f>
        <v>0</v>
      </c>
      <c r="H124" s="2">
        <f>H126+H129+H150</f>
        <v>0</v>
      </c>
      <c r="I124" s="2">
        <f>I126+I129+I150</f>
        <v>0</v>
      </c>
      <c r="J124" s="36"/>
      <c r="K124" s="36"/>
      <c r="L124" s="36"/>
    </row>
    <row r="125" spans="1:16" ht="18.75" x14ac:dyDescent="0.25">
      <c r="A125" s="54" t="s">
        <v>9</v>
      </c>
      <c r="B125" s="58"/>
      <c r="C125" s="58"/>
      <c r="D125" s="5"/>
      <c r="E125" s="2"/>
      <c r="F125" s="2"/>
      <c r="G125" s="5"/>
      <c r="H125" s="2"/>
      <c r="I125" s="2"/>
      <c r="J125" s="36"/>
      <c r="K125" s="36"/>
      <c r="L125" s="36"/>
    </row>
    <row r="126" spans="1:16" ht="75" x14ac:dyDescent="0.25">
      <c r="A126" s="54" t="s">
        <v>10</v>
      </c>
      <c r="B126" s="58" t="s">
        <v>5</v>
      </c>
      <c r="C126" s="58">
        <v>210</v>
      </c>
      <c r="D126" s="5">
        <f t="shared" si="62"/>
        <v>0</v>
      </c>
      <c r="E126" s="2">
        <f>E128</f>
        <v>0</v>
      </c>
      <c r="F126" s="2">
        <f>F128</f>
        <v>0</v>
      </c>
      <c r="G126" s="5">
        <f t="shared" ref="G126" si="64">H126+I126</f>
        <v>0</v>
      </c>
      <c r="H126" s="2">
        <f>H128</f>
        <v>0</v>
      </c>
      <c r="I126" s="2">
        <f>I128</f>
        <v>0</v>
      </c>
      <c r="J126" s="36"/>
      <c r="K126" s="36"/>
      <c r="L126" s="36"/>
    </row>
    <row r="127" spans="1:16" ht="18.75" x14ac:dyDescent="0.25">
      <c r="A127" s="54" t="s">
        <v>9</v>
      </c>
      <c r="B127" s="58"/>
      <c r="C127" s="58"/>
      <c r="D127" s="5"/>
      <c r="E127" s="2"/>
      <c r="F127" s="2"/>
      <c r="G127" s="5"/>
      <c r="H127" s="2"/>
      <c r="I127" s="2"/>
      <c r="J127" s="36"/>
      <c r="K127" s="36"/>
      <c r="L127" s="36"/>
    </row>
    <row r="128" spans="1:16" ht="93.75" x14ac:dyDescent="0.25">
      <c r="A128" s="54" t="s">
        <v>201</v>
      </c>
      <c r="B128" s="58">
        <v>244</v>
      </c>
      <c r="C128" s="58">
        <v>214</v>
      </c>
      <c r="D128" s="5">
        <f>E128+F128</f>
        <v>0</v>
      </c>
      <c r="E128" s="2"/>
      <c r="F128" s="2"/>
      <c r="G128" s="5">
        <f>H128+I128</f>
        <v>0</v>
      </c>
      <c r="H128" s="2"/>
      <c r="I128" s="2"/>
      <c r="J128" s="36"/>
      <c r="K128" s="36"/>
      <c r="L128" s="36"/>
    </row>
    <row r="129" spans="1:12" ht="37.5" x14ac:dyDescent="0.25">
      <c r="A129" s="54" t="s">
        <v>14</v>
      </c>
      <c r="B129" s="58" t="s">
        <v>5</v>
      </c>
      <c r="C129" s="58">
        <v>220</v>
      </c>
      <c r="D129" s="5">
        <f t="shared" si="62"/>
        <v>0</v>
      </c>
      <c r="E129" s="2">
        <f>E131+E132+E133+E141+E142+E145+E148</f>
        <v>0</v>
      </c>
      <c r="F129" s="2">
        <f>F131+F132+F133+F141+F142+F145+F148</f>
        <v>0</v>
      </c>
      <c r="G129" s="5">
        <f t="shared" ref="G129" si="65">H129+I129</f>
        <v>0</v>
      </c>
      <c r="H129" s="2">
        <f>H131+H132+H133+H141+H142+H145+H148</f>
        <v>0</v>
      </c>
      <c r="I129" s="2">
        <f>I131+I132+I133+I141+I142+I145+I148</f>
        <v>0</v>
      </c>
      <c r="J129" s="36"/>
      <c r="K129" s="36"/>
      <c r="L129" s="36"/>
    </row>
    <row r="130" spans="1:12" ht="18.75" x14ac:dyDescent="0.25">
      <c r="A130" s="54" t="s">
        <v>9</v>
      </c>
      <c r="B130" s="58"/>
      <c r="C130" s="58"/>
      <c r="D130" s="5"/>
      <c r="E130" s="2"/>
      <c r="F130" s="2"/>
      <c r="G130" s="5"/>
      <c r="H130" s="2"/>
      <c r="I130" s="2"/>
      <c r="J130" s="36"/>
      <c r="K130" s="36"/>
      <c r="L130" s="36"/>
    </row>
    <row r="131" spans="1:12" ht="18.75" x14ac:dyDescent="0.25">
      <c r="A131" s="54" t="s">
        <v>15</v>
      </c>
      <c r="B131" s="58">
        <v>244</v>
      </c>
      <c r="C131" s="58">
        <v>221</v>
      </c>
      <c r="D131" s="5">
        <f t="shared" si="62"/>
        <v>0</v>
      </c>
      <c r="E131" s="2">
        <v>0</v>
      </c>
      <c r="F131" s="2"/>
      <c r="G131" s="5">
        <f t="shared" ref="G131:G133" si="66">H131+I131</f>
        <v>0</v>
      </c>
      <c r="H131" s="2"/>
      <c r="I131" s="2"/>
      <c r="J131" s="36"/>
      <c r="K131" s="36"/>
      <c r="L131" s="36"/>
    </row>
    <row r="132" spans="1:12" ht="37.5" x14ac:dyDescent="0.25">
      <c r="A132" s="54" t="s">
        <v>16</v>
      </c>
      <c r="B132" s="58">
        <v>244</v>
      </c>
      <c r="C132" s="58">
        <v>222</v>
      </c>
      <c r="D132" s="5">
        <f t="shared" si="62"/>
        <v>0</v>
      </c>
      <c r="E132" s="2"/>
      <c r="F132" s="2"/>
      <c r="G132" s="5">
        <f t="shared" si="66"/>
        <v>0</v>
      </c>
      <c r="H132" s="2"/>
      <c r="I132" s="2"/>
      <c r="J132" s="36"/>
      <c r="K132" s="36"/>
      <c r="L132" s="36"/>
    </row>
    <row r="133" spans="1:12" ht="37.5" x14ac:dyDescent="0.25">
      <c r="A133" s="54" t="s">
        <v>17</v>
      </c>
      <c r="B133" s="58" t="s">
        <v>5</v>
      </c>
      <c r="C133" s="58">
        <v>223</v>
      </c>
      <c r="D133" s="5">
        <f t="shared" si="62"/>
        <v>0</v>
      </c>
      <c r="E133" s="2">
        <f t="shared" ref="E133:F133" si="67">E135+E136+E137+E138+E139</f>
        <v>0</v>
      </c>
      <c r="F133" s="2">
        <f t="shared" si="67"/>
        <v>0</v>
      </c>
      <c r="G133" s="5">
        <f t="shared" si="66"/>
        <v>0</v>
      </c>
      <c r="H133" s="2">
        <f t="shared" ref="H133:I133" si="68">H135+H136+H137+H138+H139</f>
        <v>0</v>
      </c>
      <c r="I133" s="2">
        <f t="shared" si="68"/>
        <v>0</v>
      </c>
      <c r="J133" s="36"/>
      <c r="K133" s="36"/>
      <c r="L133" s="36"/>
    </row>
    <row r="134" spans="1:12" ht="18.75" x14ac:dyDescent="0.25">
      <c r="A134" s="54" t="s">
        <v>6</v>
      </c>
      <c r="B134" s="58"/>
      <c r="C134" s="58"/>
      <c r="D134" s="5"/>
      <c r="E134" s="2"/>
      <c r="F134" s="2"/>
      <c r="G134" s="5"/>
      <c r="H134" s="2"/>
      <c r="I134" s="2"/>
      <c r="J134" s="36"/>
      <c r="K134" s="36"/>
      <c r="L134" s="36"/>
    </row>
    <row r="135" spans="1:12" ht="56.25" x14ac:dyDescent="0.25">
      <c r="A135" s="54" t="s">
        <v>18</v>
      </c>
      <c r="B135" s="58">
        <v>244</v>
      </c>
      <c r="C135" s="58">
        <v>223</v>
      </c>
      <c r="D135" s="5">
        <f t="shared" si="62"/>
        <v>0</v>
      </c>
      <c r="E135" s="2"/>
      <c r="F135" s="2"/>
      <c r="G135" s="5">
        <f t="shared" ref="G135:G141" si="69">H135+I135</f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19</v>
      </c>
      <c r="B136" s="58">
        <v>247</v>
      </c>
      <c r="C136" s="58">
        <v>223</v>
      </c>
      <c r="D136" s="5">
        <f t="shared" si="62"/>
        <v>0</v>
      </c>
      <c r="E136" s="2">
        <v>0</v>
      </c>
      <c r="F136" s="2"/>
      <c r="G136" s="5">
        <f t="shared" si="69"/>
        <v>0</v>
      </c>
      <c r="H136" s="2"/>
      <c r="I136" s="2"/>
      <c r="J136" s="36"/>
      <c r="K136" s="36"/>
      <c r="L136" s="36"/>
    </row>
    <row r="137" spans="1:12" ht="75" x14ac:dyDescent="0.25">
      <c r="A137" s="54" t="s">
        <v>20</v>
      </c>
      <c r="B137" s="58">
        <v>247</v>
      </c>
      <c r="C137" s="58">
        <v>223</v>
      </c>
      <c r="D137" s="5">
        <f t="shared" si="62"/>
        <v>0</v>
      </c>
      <c r="E137" s="2">
        <v>0</v>
      </c>
      <c r="F137" s="2"/>
      <c r="G137" s="5">
        <f t="shared" si="69"/>
        <v>0</v>
      </c>
      <c r="H137" s="2"/>
      <c r="I137" s="2"/>
      <c r="J137" s="36"/>
      <c r="K137" s="36"/>
      <c r="L137" s="36"/>
    </row>
    <row r="138" spans="1:12" ht="75" x14ac:dyDescent="0.25">
      <c r="A138" s="54" t="s">
        <v>21</v>
      </c>
      <c r="B138" s="58">
        <v>244</v>
      </c>
      <c r="C138" s="58">
        <v>223</v>
      </c>
      <c r="D138" s="5">
        <f t="shared" si="62"/>
        <v>0</v>
      </c>
      <c r="E138" s="2">
        <v>0</v>
      </c>
      <c r="F138" s="2"/>
      <c r="G138" s="5">
        <f t="shared" si="69"/>
        <v>0</v>
      </c>
      <c r="H138" s="2"/>
      <c r="I138" s="2"/>
      <c r="J138" s="36"/>
      <c r="K138" s="36"/>
      <c r="L138" s="36"/>
    </row>
    <row r="139" spans="1:12" ht="56.25" x14ac:dyDescent="0.25">
      <c r="A139" s="54" t="s">
        <v>22</v>
      </c>
      <c r="B139" s="58">
        <v>244</v>
      </c>
      <c r="C139" s="58">
        <v>223</v>
      </c>
      <c r="D139" s="5">
        <f t="shared" si="62"/>
        <v>0</v>
      </c>
      <c r="E139" s="2">
        <v>0</v>
      </c>
      <c r="F139" s="2"/>
      <c r="G139" s="5">
        <f t="shared" si="69"/>
        <v>0</v>
      </c>
      <c r="H139" s="2"/>
      <c r="I139" s="2"/>
      <c r="J139" s="36"/>
      <c r="K139" s="36"/>
      <c r="L139" s="36"/>
    </row>
    <row r="140" spans="1:12" ht="56.25" x14ac:dyDescent="0.25">
      <c r="A140" s="195" t="s">
        <v>446</v>
      </c>
      <c r="B140" s="196">
        <v>244</v>
      </c>
      <c r="C140" s="196">
        <v>223</v>
      </c>
      <c r="D140" s="5">
        <f t="shared" ref="D140" si="70">E140+F140</f>
        <v>0</v>
      </c>
      <c r="E140" s="2"/>
      <c r="F140" s="2"/>
      <c r="G140" s="5">
        <f t="shared" ref="G140" si="71">H140+I140</f>
        <v>0</v>
      </c>
      <c r="H140" s="2"/>
      <c r="I140" s="2"/>
      <c r="J140" s="36"/>
      <c r="K140" s="36"/>
      <c r="L140" s="36"/>
    </row>
    <row r="141" spans="1:12" ht="168.75" x14ac:dyDescent="0.25">
      <c r="A141" s="54" t="s">
        <v>23</v>
      </c>
      <c r="B141" s="58">
        <v>244</v>
      </c>
      <c r="C141" s="58">
        <v>224</v>
      </c>
      <c r="D141" s="5">
        <f t="shared" si="62"/>
        <v>0</v>
      </c>
      <c r="E141" s="2"/>
      <c r="F141" s="2"/>
      <c r="G141" s="5">
        <f t="shared" si="69"/>
        <v>0</v>
      </c>
      <c r="H141" s="2"/>
      <c r="I141" s="2"/>
      <c r="J141" s="36"/>
      <c r="K141" s="36"/>
      <c r="L141" s="36"/>
    </row>
    <row r="142" spans="1:12" ht="56.25" x14ac:dyDescent="0.25">
      <c r="A142" s="54" t="s">
        <v>24</v>
      </c>
      <c r="B142" s="58" t="s">
        <v>5</v>
      </c>
      <c r="C142" s="58">
        <v>225</v>
      </c>
      <c r="D142" s="2">
        <f t="shared" ref="D142:F142" si="72">D143+D144</f>
        <v>0</v>
      </c>
      <c r="E142" s="2">
        <f>E143+E144</f>
        <v>0</v>
      </c>
      <c r="F142" s="2">
        <f t="shared" si="72"/>
        <v>0</v>
      </c>
      <c r="G142" s="2">
        <f t="shared" ref="G142" si="73">G143+G144</f>
        <v>0</v>
      </c>
      <c r="H142" s="2">
        <f>H143+H144</f>
        <v>0</v>
      </c>
      <c r="I142" s="2">
        <f t="shared" ref="I142" si="74">I143+I144</f>
        <v>0</v>
      </c>
      <c r="J142" s="36"/>
      <c r="K142" s="36"/>
      <c r="L142" s="36"/>
    </row>
    <row r="143" spans="1:12" ht="18.75" x14ac:dyDescent="0.25">
      <c r="A143" s="216" t="s">
        <v>6</v>
      </c>
      <c r="B143" s="58">
        <v>243</v>
      </c>
      <c r="C143" s="58">
        <v>225</v>
      </c>
      <c r="D143" s="5">
        <f t="shared" si="62"/>
        <v>0</v>
      </c>
      <c r="E143" s="2"/>
      <c r="F143" s="2"/>
      <c r="G143" s="5">
        <f t="shared" ref="G143:G154" si="75">H143+I143</f>
        <v>0</v>
      </c>
      <c r="H143" s="2"/>
      <c r="I143" s="2"/>
      <c r="J143" s="36"/>
      <c r="K143" s="36"/>
      <c r="L143" s="36"/>
    </row>
    <row r="144" spans="1:12" ht="18.75" x14ac:dyDescent="0.25">
      <c r="A144" s="216"/>
      <c r="B144" s="58">
        <v>244</v>
      </c>
      <c r="C144" s="58">
        <v>225</v>
      </c>
      <c r="D144" s="5">
        <f t="shared" si="62"/>
        <v>0</v>
      </c>
      <c r="E144" s="2">
        <v>0</v>
      </c>
      <c r="F144" s="2"/>
      <c r="G144" s="5">
        <f t="shared" si="75"/>
        <v>0</v>
      </c>
      <c r="H144" s="2"/>
      <c r="I144" s="2"/>
      <c r="J144" s="36"/>
      <c r="K144" s="36"/>
      <c r="L144" s="36"/>
    </row>
    <row r="145" spans="1:12" ht="37.5" x14ac:dyDescent="0.25">
      <c r="A145" s="54" t="s">
        <v>58</v>
      </c>
      <c r="B145" s="58" t="s">
        <v>5</v>
      </c>
      <c r="C145" s="58">
        <v>226</v>
      </c>
      <c r="D145" s="5">
        <f t="shared" si="62"/>
        <v>0</v>
      </c>
      <c r="E145" s="2">
        <f>E146+E147</f>
        <v>0</v>
      </c>
      <c r="F145" s="2">
        <f>F146+F147</f>
        <v>0</v>
      </c>
      <c r="G145" s="5">
        <f t="shared" si="75"/>
        <v>0</v>
      </c>
      <c r="H145" s="2">
        <f>H146+H147</f>
        <v>0</v>
      </c>
      <c r="I145" s="2">
        <f>I146+I147</f>
        <v>0</v>
      </c>
      <c r="J145" s="36"/>
      <c r="K145" s="36"/>
      <c r="L145" s="36"/>
    </row>
    <row r="146" spans="1:12" ht="18.75" x14ac:dyDescent="0.25">
      <c r="A146" s="216" t="s">
        <v>6</v>
      </c>
      <c r="B146" s="58">
        <v>243</v>
      </c>
      <c r="C146" s="58">
        <v>226</v>
      </c>
      <c r="D146" s="5">
        <f t="shared" si="62"/>
        <v>0</v>
      </c>
      <c r="E146" s="2"/>
      <c r="F146" s="2"/>
      <c r="G146" s="5">
        <f t="shared" si="75"/>
        <v>0</v>
      </c>
      <c r="H146" s="2"/>
      <c r="I146" s="2"/>
      <c r="J146" s="36"/>
      <c r="K146" s="36"/>
      <c r="L146" s="36"/>
    </row>
    <row r="147" spans="1:12" ht="18.75" x14ac:dyDescent="0.25">
      <c r="A147" s="216"/>
      <c r="B147" s="58">
        <v>244</v>
      </c>
      <c r="C147" s="58">
        <v>226</v>
      </c>
      <c r="D147" s="5">
        <f t="shared" si="62"/>
        <v>0</v>
      </c>
      <c r="E147" s="2">
        <v>0</v>
      </c>
      <c r="F147" s="2"/>
      <c r="G147" s="5">
        <f t="shared" si="75"/>
        <v>0</v>
      </c>
      <c r="H147" s="2"/>
      <c r="I147" s="2"/>
      <c r="J147" s="36"/>
      <c r="K147" s="36"/>
      <c r="L147" s="36"/>
    </row>
    <row r="148" spans="1:12" ht="18.75" x14ac:dyDescent="0.25">
      <c r="A148" s="54" t="s">
        <v>25</v>
      </c>
      <c r="B148" s="58">
        <v>244</v>
      </c>
      <c r="C148" s="58">
        <v>227</v>
      </c>
      <c r="D148" s="5">
        <f>E148+F148</f>
        <v>0</v>
      </c>
      <c r="E148" s="2"/>
      <c r="F148" s="2"/>
      <c r="G148" s="5">
        <f t="shared" si="75"/>
        <v>0</v>
      </c>
      <c r="H148" s="2"/>
      <c r="I148" s="2"/>
      <c r="J148" s="36"/>
      <c r="K148" s="36"/>
      <c r="L148" s="36"/>
    </row>
    <row r="149" spans="1:12" ht="56.25" x14ac:dyDescent="0.25">
      <c r="A149" s="170" t="s">
        <v>346</v>
      </c>
      <c r="B149" s="171">
        <v>244</v>
      </c>
      <c r="C149" s="171">
        <v>228</v>
      </c>
      <c r="D149" s="5">
        <f>E149+F149</f>
        <v>0</v>
      </c>
      <c r="E149" s="2"/>
      <c r="F149" s="2"/>
      <c r="G149" s="5">
        <f t="shared" ref="G149" si="76">H149+I149</f>
        <v>0</v>
      </c>
      <c r="H149" s="2"/>
      <c r="I149" s="2"/>
      <c r="J149" s="36"/>
      <c r="K149" s="36"/>
      <c r="L149" s="36"/>
    </row>
    <row r="150" spans="1:12" ht="18.75" x14ac:dyDescent="0.25">
      <c r="A150" s="54" t="s">
        <v>30</v>
      </c>
      <c r="B150" s="58" t="s">
        <v>5</v>
      </c>
      <c r="C150" s="58">
        <v>290</v>
      </c>
      <c r="D150" s="5">
        <f t="shared" si="62"/>
        <v>0</v>
      </c>
      <c r="E150" s="2">
        <f>E152+E153</f>
        <v>0</v>
      </c>
      <c r="F150" s="2">
        <f>F152+F153</f>
        <v>0</v>
      </c>
      <c r="G150" s="5">
        <f t="shared" si="75"/>
        <v>0</v>
      </c>
      <c r="H150" s="2">
        <f>H152+H153</f>
        <v>0</v>
      </c>
      <c r="I150" s="2">
        <f>I152+I153</f>
        <v>0</v>
      </c>
      <c r="J150" s="36"/>
      <c r="K150" s="36"/>
      <c r="L150" s="36"/>
    </row>
    <row r="151" spans="1:12" ht="18.75" x14ac:dyDescent="0.25">
      <c r="A151" s="54" t="s">
        <v>9</v>
      </c>
      <c r="B151" s="58"/>
      <c r="C151" s="58"/>
      <c r="D151" s="5">
        <f t="shared" si="62"/>
        <v>0</v>
      </c>
      <c r="E151" s="2"/>
      <c r="F151" s="2"/>
      <c r="G151" s="5">
        <f t="shared" si="75"/>
        <v>0</v>
      </c>
      <c r="H151" s="2"/>
      <c r="I151" s="2"/>
      <c r="J151" s="36"/>
      <c r="K151" s="36"/>
      <c r="L151" s="36"/>
    </row>
    <row r="152" spans="1:12" ht="56.25" x14ac:dyDescent="0.25">
      <c r="A152" s="54" t="s">
        <v>34</v>
      </c>
      <c r="B152" s="58">
        <v>244</v>
      </c>
      <c r="C152" s="58">
        <v>296</v>
      </c>
      <c r="D152" s="5">
        <f t="shared" si="62"/>
        <v>0</v>
      </c>
      <c r="E152" s="2"/>
      <c r="F152" s="2"/>
      <c r="G152" s="5">
        <f t="shared" si="75"/>
        <v>0</v>
      </c>
      <c r="H152" s="2"/>
      <c r="I152" s="2"/>
      <c r="J152" s="36"/>
      <c r="K152" s="36"/>
      <c r="L152" s="36"/>
    </row>
    <row r="153" spans="1:12" ht="56.25" x14ac:dyDescent="0.25">
      <c r="A153" s="54" t="s">
        <v>35</v>
      </c>
      <c r="B153" s="58">
        <v>244</v>
      </c>
      <c r="C153" s="58">
        <v>297</v>
      </c>
      <c r="D153" s="5">
        <f t="shared" si="62"/>
        <v>0</v>
      </c>
      <c r="E153" s="2"/>
      <c r="F153" s="2"/>
      <c r="G153" s="5">
        <f t="shared" si="75"/>
        <v>0</v>
      </c>
      <c r="H153" s="2"/>
      <c r="I153" s="2"/>
      <c r="J153" s="36"/>
      <c r="K153" s="36"/>
      <c r="L153" s="36"/>
    </row>
    <row r="154" spans="1:12" ht="56.25" x14ac:dyDescent="0.25">
      <c r="A154" s="54" t="s">
        <v>59</v>
      </c>
      <c r="B154" s="58" t="s">
        <v>5</v>
      </c>
      <c r="C154" s="58">
        <v>300</v>
      </c>
      <c r="D154" s="5">
        <f t="shared" si="62"/>
        <v>0</v>
      </c>
      <c r="E154" s="2">
        <f>E156+E158+E157</f>
        <v>0</v>
      </c>
      <c r="F154" s="2">
        <f>F156+F158+F157</f>
        <v>0</v>
      </c>
      <c r="G154" s="5">
        <f t="shared" si="75"/>
        <v>0</v>
      </c>
      <c r="H154" s="2">
        <f>H156+H158+H157</f>
        <v>0</v>
      </c>
      <c r="I154" s="2">
        <f>I156+I158+I157</f>
        <v>0</v>
      </c>
      <c r="J154" s="36"/>
      <c r="K154" s="36"/>
      <c r="L154" s="36"/>
    </row>
    <row r="155" spans="1:12" ht="18.75" x14ac:dyDescent="0.25">
      <c r="A155" s="54" t="s">
        <v>9</v>
      </c>
      <c r="B155" s="58"/>
      <c r="C155" s="58"/>
      <c r="D155" s="5"/>
      <c r="E155" s="2"/>
      <c r="F155" s="2"/>
      <c r="G155" s="5"/>
      <c r="H155" s="2"/>
      <c r="I155" s="2"/>
      <c r="J155" s="36"/>
      <c r="K155" s="36"/>
      <c r="L155" s="36"/>
    </row>
    <row r="156" spans="1:12" ht="56.25" x14ac:dyDescent="0.25">
      <c r="A156" s="54" t="s">
        <v>36</v>
      </c>
      <c r="B156" s="58">
        <v>244</v>
      </c>
      <c r="C156" s="58">
        <v>310</v>
      </c>
      <c r="D156" s="5">
        <f t="shared" si="62"/>
        <v>0</v>
      </c>
      <c r="E156" s="2"/>
      <c r="F156" s="2"/>
      <c r="G156" s="5">
        <f t="shared" ref="G156:G157" si="77">H156+I156</f>
        <v>0</v>
      </c>
      <c r="H156" s="2"/>
      <c r="I156" s="2"/>
      <c r="J156" s="36"/>
      <c r="K156" s="36"/>
      <c r="L156" s="36"/>
    </row>
    <row r="157" spans="1:12" ht="75" x14ac:dyDescent="0.25">
      <c r="A157" s="54" t="s">
        <v>68</v>
      </c>
      <c r="B157" s="58">
        <v>244</v>
      </c>
      <c r="C157" s="58">
        <v>320</v>
      </c>
      <c r="D157" s="5">
        <f t="shared" si="62"/>
        <v>0</v>
      </c>
      <c r="E157" s="2"/>
      <c r="F157" s="2"/>
      <c r="G157" s="5">
        <f t="shared" si="77"/>
        <v>0</v>
      </c>
      <c r="H157" s="2"/>
      <c r="I157" s="2"/>
      <c r="J157" s="36"/>
      <c r="K157" s="36"/>
      <c r="L157" s="36"/>
    </row>
    <row r="158" spans="1:12" ht="75" x14ac:dyDescent="0.25">
      <c r="A158" s="54" t="s">
        <v>60</v>
      </c>
      <c r="B158" s="58" t="s">
        <v>5</v>
      </c>
      <c r="C158" s="58">
        <v>340</v>
      </c>
      <c r="D158" s="5">
        <f>E158+F158</f>
        <v>0</v>
      </c>
      <c r="E158" s="2">
        <f>E160+E161+E162+E163+E164+E165+E166+E167</f>
        <v>0</v>
      </c>
      <c r="F158" s="2">
        <f>F160+F161+F162+F163+F164+F165+F166+F167</f>
        <v>0</v>
      </c>
      <c r="G158" s="5">
        <f>H158+I158</f>
        <v>0</v>
      </c>
      <c r="H158" s="2">
        <f>H160+H161+H162+H163+H164+H165+H166+H167</f>
        <v>0</v>
      </c>
      <c r="I158" s="2">
        <f>I160+I161+I162+I163+I164+I165+I166+I167</f>
        <v>0</v>
      </c>
      <c r="J158" s="36"/>
      <c r="K158" s="36"/>
      <c r="L158" s="36"/>
    </row>
    <row r="159" spans="1:12" ht="18.75" x14ac:dyDescent="0.25">
      <c r="A159" s="54" t="s">
        <v>6</v>
      </c>
      <c r="B159" s="58"/>
      <c r="C159" s="58"/>
      <c r="D159" s="5"/>
      <c r="E159" s="2"/>
      <c r="F159" s="2"/>
      <c r="G159" s="5"/>
      <c r="H159" s="2"/>
      <c r="I159" s="2"/>
      <c r="J159" s="36"/>
      <c r="K159" s="36"/>
      <c r="L159" s="36"/>
    </row>
    <row r="160" spans="1:12" ht="131.25" x14ac:dyDescent="0.25">
      <c r="A160" s="54" t="s">
        <v>37</v>
      </c>
      <c r="B160" s="58">
        <v>244</v>
      </c>
      <c r="C160" s="58">
        <v>341</v>
      </c>
      <c r="D160" s="5">
        <f t="shared" ref="D160:D167" si="78">E160+F160</f>
        <v>0</v>
      </c>
      <c r="E160" s="2"/>
      <c r="F160" s="2"/>
      <c r="G160" s="5">
        <f t="shared" ref="G160:G167" si="79">H160+I160</f>
        <v>0</v>
      </c>
      <c r="H160" s="2"/>
      <c r="I160" s="2"/>
      <c r="J160" s="36"/>
      <c r="K160" s="36"/>
      <c r="L160" s="36"/>
    </row>
    <row r="161" spans="1:12" ht="56.25" x14ac:dyDescent="0.25">
      <c r="A161" s="54" t="s">
        <v>38</v>
      </c>
      <c r="B161" s="58">
        <v>244</v>
      </c>
      <c r="C161" s="58">
        <v>342</v>
      </c>
      <c r="D161" s="5">
        <f t="shared" si="78"/>
        <v>0</v>
      </c>
      <c r="E161" s="2"/>
      <c r="F161" s="2"/>
      <c r="G161" s="5">
        <f t="shared" si="79"/>
        <v>0</v>
      </c>
      <c r="H161" s="2"/>
      <c r="I161" s="2"/>
      <c r="J161" s="36"/>
      <c r="K161" s="36"/>
      <c r="L161" s="36"/>
    </row>
    <row r="162" spans="1:12" ht="75" x14ac:dyDescent="0.25">
      <c r="A162" s="54" t="s">
        <v>39</v>
      </c>
      <c r="B162" s="58">
        <v>244</v>
      </c>
      <c r="C162" s="58">
        <v>343</v>
      </c>
      <c r="D162" s="5">
        <f t="shared" si="78"/>
        <v>0</v>
      </c>
      <c r="E162" s="2">
        <v>0</v>
      </c>
      <c r="F162" s="2"/>
      <c r="G162" s="5">
        <f t="shared" si="79"/>
        <v>0</v>
      </c>
      <c r="H162" s="2"/>
      <c r="I162" s="2"/>
      <c r="J162" s="36"/>
      <c r="K162" s="36"/>
      <c r="L162" s="36"/>
    </row>
    <row r="163" spans="1:12" ht="75" x14ac:dyDescent="0.25">
      <c r="A163" s="54" t="s">
        <v>40</v>
      </c>
      <c r="B163" s="58">
        <v>244</v>
      </c>
      <c r="C163" s="58">
        <v>344</v>
      </c>
      <c r="D163" s="5">
        <f t="shared" si="78"/>
        <v>0</v>
      </c>
      <c r="E163" s="2"/>
      <c r="F163" s="2"/>
      <c r="G163" s="5">
        <f t="shared" si="79"/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41</v>
      </c>
      <c r="B164" s="58">
        <v>244</v>
      </c>
      <c r="C164" s="58">
        <v>345</v>
      </c>
      <c r="D164" s="5">
        <f t="shared" si="78"/>
        <v>0</v>
      </c>
      <c r="E164" s="2"/>
      <c r="F164" s="2"/>
      <c r="G164" s="5">
        <f t="shared" si="79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42</v>
      </c>
      <c r="B165" s="58">
        <v>244</v>
      </c>
      <c r="C165" s="58">
        <v>346</v>
      </c>
      <c r="D165" s="5">
        <f>E165+F165</f>
        <v>0</v>
      </c>
      <c r="E165" s="2"/>
      <c r="F165" s="2"/>
      <c r="G165" s="5">
        <f t="shared" si="79"/>
        <v>0</v>
      </c>
      <c r="H165" s="2"/>
      <c r="I165" s="2"/>
      <c r="J165" s="36"/>
      <c r="K165" s="36"/>
      <c r="L165" s="36"/>
    </row>
    <row r="166" spans="1:12" ht="112.5" x14ac:dyDescent="0.25">
      <c r="A166" s="170" t="s">
        <v>347</v>
      </c>
      <c r="B166" s="171">
        <v>244</v>
      </c>
      <c r="C166" s="171">
        <v>347</v>
      </c>
      <c r="D166" s="5">
        <f>E166+F166</f>
        <v>0</v>
      </c>
      <c r="E166" s="2"/>
      <c r="F166" s="2"/>
      <c r="G166" s="5">
        <f t="shared" ref="G166" si="80">H166+I166</f>
        <v>0</v>
      </c>
      <c r="H166" s="2"/>
      <c r="I166" s="2"/>
      <c r="J166" s="36"/>
      <c r="K166" s="36"/>
      <c r="L166" s="36"/>
    </row>
    <row r="167" spans="1:12" ht="112.5" x14ac:dyDescent="0.25">
      <c r="A167" s="54" t="s">
        <v>43</v>
      </c>
      <c r="B167" s="58">
        <v>244</v>
      </c>
      <c r="C167" s="58">
        <v>349</v>
      </c>
      <c r="D167" s="5">
        <f t="shared" si="78"/>
        <v>0</v>
      </c>
      <c r="E167" s="2"/>
      <c r="F167" s="2"/>
      <c r="G167" s="5">
        <f t="shared" si="79"/>
        <v>0</v>
      </c>
      <c r="H167" s="2"/>
      <c r="I167" s="2"/>
      <c r="J167" s="36"/>
      <c r="K167" s="36"/>
      <c r="L167" s="36"/>
    </row>
    <row r="168" spans="1:12" ht="17.45" customHeight="1" x14ac:dyDescent="0.25">
      <c r="A168" s="315" t="s">
        <v>202</v>
      </c>
      <c r="B168" s="316"/>
      <c r="C168" s="316"/>
      <c r="D168" s="316"/>
      <c r="E168" s="316"/>
      <c r="F168" s="316"/>
      <c r="G168" s="316"/>
      <c r="H168" s="316"/>
      <c r="I168" s="316"/>
      <c r="J168" s="76"/>
      <c r="K168" s="76"/>
      <c r="L168" s="76"/>
    </row>
    <row r="169" spans="1:12" ht="18.75" x14ac:dyDescent="0.25">
      <c r="A169" s="54" t="s">
        <v>8</v>
      </c>
      <c r="B169" s="58" t="s">
        <v>5</v>
      </c>
      <c r="C169" s="58">
        <v>200</v>
      </c>
      <c r="D169" s="5">
        <f t="shared" ref="D169" si="81">E169+F169</f>
        <v>75497833.190000013</v>
      </c>
      <c r="E169" s="2">
        <f>E171+E174+E195</f>
        <v>75497833.190000013</v>
      </c>
      <c r="F169" s="2">
        <f>F171+F174+F195</f>
        <v>0</v>
      </c>
      <c r="G169" s="5">
        <f t="shared" ref="G169" si="82">H169+I169</f>
        <v>75497833.190000013</v>
      </c>
      <c r="H169" s="2">
        <f>H171+H174+H195</f>
        <v>75497833.190000013</v>
      </c>
      <c r="I169" s="2">
        <f>I171+I174+I195</f>
        <v>0</v>
      </c>
      <c r="J169" s="36"/>
      <c r="K169" s="36"/>
      <c r="L169" s="36"/>
    </row>
    <row r="170" spans="1:12" ht="18.75" x14ac:dyDescent="0.25">
      <c r="A170" s="54" t="s">
        <v>9</v>
      </c>
      <c r="B170" s="58"/>
      <c r="C170" s="58"/>
      <c r="D170" s="5"/>
      <c r="E170" s="2"/>
      <c r="F170" s="2"/>
      <c r="G170" s="5"/>
      <c r="H170" s="2"/>
      <c r="I170" s="2"/>
      <c r="J170" s="36"/>
      <c r="K170" s="36"/>
      <c r="L170" s="36"/>
    </row>
    <row r="171" spans="1:12" ht="75" x14ac:dyDescent="0.25">
      <c r="A171" s="54" t="s">
        <v>10</v>
      </c>
      <c r="B171" s="58" t="s">
        <v>5</v>
      </c>
      <c r="C171" s="58">
        <v>210</v>
      </c>
      <c r="D171" s="5">
        <f t="shared" ref="D171" si="83">E171+F171</f>
        <v>0</v>
      </c>
      <c r="E171" s="2">
        <f>E173</f>
        <v>0</v>
      </c>
      <c r="F171" s="2">
        <f>F173</f>
        <v>0</v>
      </c>
      <c r="G171" s="5">
        <f t="shared" ref="G171" si="84">H171+I171</f>
        <v>0</v>
      </c>
      <c r="H171" s="2">
        <f>H173</f>
        <v>0</v>
      </c>
      <c r="I171" s="2">
        <f>I173</f>
        <v>0</v>
      </c>
      <c r="J171" s="36"/>
      <c r="K171" s="36"/>
      <c r="L171" s="36"/>
    </row>
    <row r="172" spans="1:12" ht="18.75" x14ac:dyDescent="0.25">
      <c r="A172" s="54" t="s">
        <v>9</v>
      </c>
      <c r="B172" s="58"/>
      <c r="C172" s="58"/>
      <c r="D172" s="5"/>
      <c r="E172" s="2"/>
      <c r="F172" s="2"/>
      <c r="G172" s="5"/>
      <c r="H172" s="2"/>
      <c r="I172" s="2"/>
      <c r="J172" s="36"/>
      <c r="K172" s="36"/>
      <c r="L172" s="36"/>
    </row>
    <row r="173" spans="1:12" ht="93.75" x14ac:dyDescent="0.25">
      <c r="A173" s="54" t="s">
        <v>201</v>
      </c>
      <c r="B173" s="58">
        <v>244</v>
      </c>
      <c r="C173" s="58">
        <v>214</v>
      </c>
      <c r="D173" s="5">
        <f>E173+F173</f>
        <v>0</v>
      </c>
      <c r="E173" s="70">
        <f>E31-E128</f>
        <v>0</v>
      </c>
      <c r="F173" s="2"/>
      <c r="G173" s="5">
        <f>H173+I173</f>
        <v>0</v>
      </c>
      <c r="H173" s="70">
        <f>H31-H128</f>
        <v>0</v>
      </c>
      <c r="I173" s="2"/>
      <c r="J173" s="36"/>
      <c r="K173" s="36"/>
      <c r="L173" s="36"/>
    </row>
    <row r="174" spans="1:12" ht="37.5" x14ac:dyDescent="0.25">
      <c r="A174" s="54" t="s">
        <v>14</v>
      </c>
      <c r="B174" s="58" t="s">
        <v>5</v>
      </c>
      <c r="C174" s="58">
        <v>220</v>
      </c>
      <c r="D174" s="5">
        <f>E174+F174</f>
        <v>75497833.190000013</v>
      </c>
      <c r="E174" s="2">
        <f>E176+E177+E178+E186+E187+E190+E193+E194</f>
        <v>75497833.190000013</v>
      </c>
      <c r="F174" s="2">
        <f>F176+F177+F178+F186+F187+F190+F193+F194</f>
        <v>0</v>
      </c>
      <c r="G174" s="5">
        <f t="shared" ref="G174" si="85">H174+I174</f>
        <v>75497833.190000013</v>
      </c>
      <c r="H174" s="2">
        <f>H176+H177+H178+H186+H187+H190+H193+H194</f>
        <v>75497833.190000013</v>
      </c>
      <c r="I174" s="2">
        <f>I176+I177+I178+I186+I187+I190+I193+I194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18.75" x14ac:dyDescent="0.25">
      <c r="A176" s="54" t="s">
        <v>15</v>
      </c>
      <c r="B176" s="58">
        <v>244</v>
      </c>
      <c r="C176" s="58">
        <v>221</v>
      </c>
      <c r="D176" s="5">
        <f t="shared" ref="D176:D178" si="86">E176+F176</f>
        <v>2377640</v>
      </c>
      <c r="E176" s="2">
        <f>E34-E131</f>
        <v>2377640</v>
      </c>
      <c r="F176" s="2"/>
      <c r="G176" s="5">
        <f t="shared" ref="G176:G178" si="87">H176+I176</f>
        <v>2377640</v>
      </c>
      <c r="H176" s="2">
        <f>H34-H131</f>
        <v>2377640</v>
      </c>
      <c r="I176" s="2"/>
      <c r="J176" s="36"/>
      <c r="K176" s="36"/>
      <c r="L176" s="36"/>
    </row>
    <row r="177" spans="1:12" ht="37.5" x14ac:dyDescent="0.25">
      <c r="A177" s="54" t="s">
        <v>16</v>
      </c>
      <c r="B177" s="58">
        <v>244</v>
      </c>
      <c r="C177" s="58">
        <v>222</v>
      </c>
      <c r="D177" s="5">
        <f t="shared" si="86"/>
        <v>0</v>
      </c>
      <c r="E177" s="70">
        <f>E37-E132</f>
        <v>0</v>
      </c>
      <c r="F177" s="2"/>
      <c r="G177" s="5">
        <f t="shared" si="87"/>
        <v>0</v>
      </c>
      <c r="H177" s="70">
        <f>H37-H132</f>
        <v>0</v>
      </c>
      <c r="I177" s="2"/>
      <c r="J177" s="36"/>
      <c r="K177" s="36"/>
      <c r="L177" s="36"/>
    </row>
    <row r="178" spans="1:12" ht="37.5" x14ac:dyDescent="0.25">
      <c r="A178" s="54" t="s">
        <v>17</v>
      </c>
      <c r="B178" s="58" t="s">
        <v>5</v>
      </c>
      <c r="C178" s="58">
        <v>223</v>
      </c>
      <c r="D178" s="5">
        <f t="shared" si="86"/>
        <v>36113963.160000004</v>
      </c>
      <c r="E178" s="2">
        <f t="shared" ref="E178:F178" si="88">E180+E181+E182+E183+E184</f>
        <v>36113963.160000004</v>
      </c>
      <c r="F178" s="2">
        <f t="shared" si="88"/>
        <v>0</v>
      </c>
      <c r="G178" s="5">
        <f t="shared" si="87"/>
        <v>36113963.160000004</v>
      </c>
      <c r="H178" s="2">
        <f t="shared" ref="H178:I178" si="89">H180+H181+H182+H183+H184</f>
        <v>36113963.160000004</v>
      </c>
      <c r="I178" s="2">
        <f t="shared" si="89"/>
        <v>0</v>
      </c>
      <c r="J178" s="36"/>
      <c r="K178" s="36"/>
      <c r="L178" s="36"/>
    </row>
    <row r="179" spans="1:12" ht="18.75" x14ac:dyDescent="0.25">
      <c r="A179" s="54" t="s">
        <v>6</v>
      </c>
      <c r="B179" s="58"/>
      <c r="C179" s="58"/>
      <c r="D179" s="5"/>
      <c r="E179" s="2"/>
      <c r="F179" s="2"/>
      <c r="G179" s="5"/>
      <c r="H179" s="2"/>
      <c r="I179" s="2"/>
      <c r="J179" s="36"/>
      <c r="K179" s="36"/>
      <c r="L179" s="36"/>
    </row>
    <row r="180" spans="1:12" ht="56.25" x14ac:dyDescent="0.25">
      <c r="A180" s="54" t="s">
        <v>18</v>
      </c>
      <c r="B180" s="58">
        <v>244</v>
      </c>
      <c r="C180" s="58">
        <v>223</v>
      </c>
      <c r="D180" s="5">
        <f t="shared" ref="D180:D186" si="90">E180+F180</f>
        <v>0</v>
      </c>
      <c r="E180" s="2">
        <f>E41-E135</f>
        <v>0</v>
      </c>
      <c r="F180" s="2"/>
      <c r="G180" s="5">
        <f t="shared" ref="G180:G186" si="91">H180+I180</f>
        <v>0</v>
      </c>
      <c r="H180" s="2">
        <f>H41-H135</f>
        <v>0</v>
      </c>
      <c r="I180" s="2"/>
      <c r="J180" s="36"/>
      <c r="K180" s="36"/>
      <c r="L180" s="36"/>
    </row>
    <row r="181" spans="1:12" ht="37.5" x14ac:dyDescent="0.25">
      <c r="A181" s="54" t="s">
        <v>19</v>
      </c>
      <c r="B181" s="58">
        <v>244</v>
      </c>
      <c r="C181" s="58">
        <v>223</v>
      </c>
      <c r="D181" s="5">
        <f t="shared" si="90"/>
        <v>3626465.69</v>
      </c>
      <c r="E181" s="2">
        <f>E43-E136</f>
        <v>3626465.69</v>
      </c>
      <c r="F181" s="2"/>
      <c r="G181" s="5">
        <f t="shared" si="91"/>
        <v>3626465.69</v>
      </c>
      <c r="H181" s="2">
        <f>H43-H136</f>
        <v>3626465.69</v>
      </c>
      <c r="I181" s="2"/>
      <c r="J181" s="36"/>
      <c r="K181" s="36"/>
      <c r="L181" s="36"/>
    </row>
    <row r="182" spans="1:12" ht="75" x14ac:dyDescent="0.25">
      <c r="A182" s="54" t="s">
        <v>20</v>
      </c>
      <c r="B182" s="58">
        <v>244</v>
      </c>
      <c r="C182" s="58">
        <v>223</v>
      </c>
      <c r="D182" s="5">
        <f t="shared" si="90"/>
        <v>25316126.350000001</v>
      </c>
      <c r="E182" s="2">
        <f>E45-E137</f>
        <v>25316126.350000001</v>
      </c>
      <c r="F182" s="2"/>
      <c r="G182" s="5">
        <f t="shared" si="91"/>
        <v>25316126.350000001</v>
      </c>
      <c r="H182" s="2">
        <f>H45-H137</f>
        <v>25316126.350000001</v>
      </c>
      <c r="I182" s="2"/>
      <c r="J182" s="36"/>
      <c r="K182" s="36"/>
      <c r="L182" s="36"/>
    </row>
    <row r="183" spans="1:12" ht="75" x14ac:dyDescent="0.25">
      <c r="A183" s="54" t="s">
        <v>21</v>
      </c>
      <c r="B183" s="58">
        <v>244</v>
      </c>
      <c r="C183" s="58">
        <v>223</v>
      </c>
      <c r="D183" s="5">
        <f t="shared" si="90"/>
        <v>6574816.25</v>
      </c>
      <c r="E183" s="2">
        <f>E46-E138</f>
        <v>6574816.25</v>
      </c>
      <c r="F183" s="2"/>
      <c r="G183" s="5">
        <f t="shared" si="91"/>
        <v>6574816.25</v>
      </c>
      <c r="H183" s="2">
        <f>H46-H138</f>
        <v>6574816.25</v>
      </c>
      <c r="I183" s="2"/>
      <c r="J183" s="36"/>
      <c r="K183" s="36"/>
      <c r="L183" s="36"/>
    </row>
    <row r="184" spans="1:12" ht="56.25" x14ac:dyDescent="0.25">
      <c r="A184" s="54" t="s">
        <v>22</v>
      </c>
      <c r="B184" s="58">
        <v>244</v>
      </c>
      <c r="C184" s="58">
        <v>223</v>
      </c>
      <c r="D184" s="5">
        <f t="shared" si="90"/>
        <v>596554.87</v>
      </c>
      <c r="E184" s="2">
        <f>E47-E139</f>
        <v>596554.87</v>
      </c>
      <c r="F184" s="2"/>
      <c r="G184" s="5">
        <f t="shared" si="91"/>
        <v>596554.87</v>
      </c>
      <c r="H184" s="2">
        <f>H47-H139</f>
        <v>596554.87</v>
      </c>
      <c r="I184" s="2"/>
      <c r="J184" s="36"/>
      <c r="K184" s="36"/>
      <c r="L184" s="36"/>
    </row>
    <row r="185" spans="1:12" ht="56.25" x14ac:dyDescent="0.25">
      <c r="A185" s="195" t="s">
        <v>446</v>
      </c>
      <c r="B185" s="196">
        <v>244</v>
      </c>
      <c r="C185" s="196">
        <v>223</v>
      </c>
      <c r="D185" s="5">
        <f t="shared" ref="D185" si="92">E185+F185</f>
        <v>0</v>
      </c>
      <c r="E185" s="2">
        <f>E48-E140</f>
        <v>0</v>
      </c>
      <c r="F185" s="2"/>
      <c r="G185" s="5">
        <f t="shared" ref="G185" si="93">H185+I185</f>
        <v>0</v>
      </c>
      <c r="H185" s="2">
        <f>H48-H140</f>
        <v>0</v>
      </c>
      <c r="I185" s="2"/>
      <c r="J185" s="36"/>
      <c r="K185" s="36"/>
      <c r="L185" s="36"/>
    </row>
    <row r="186" spans="1:12" ht="168.75" x14ac:dyDescent="0.25">
      <c r="A186" s="54" t="s">
        <v>23</v>
      </c>
      <c r="B186" s="58">
        <v>244</v>
      </c>
      <c r="C186" s="58">
        <v>224</v>
      </c>
      <c r="D186" s="5">
        <f t="shared" si="90"/>
        <v>0</v>
      </c>
      <c r="E186" s="2">
        <f>E49-E141</f>
        <v>0</v>
      </c>
      <c r="F186" s="2"/>
      <c r="G186" s="5">
        <f t="shared" si="91"/>
        <v>0</v>
      </c>
      <c r="H186" s="2">
        <f>H49-H141</f>
        <v>0</v>
      </c>
      <c r="I186" s="2"/>
      <c r="J186" s="36"/>
      <c r="K186" s="36"/>
      <c r="L186" s="36"/>
    </row>
    <row r="187" spans="1:12" ht="56.25" x14ac:dyDescent="0.25">
      <c r="A187" s="54" t="s">
        <v>24</v>
      </c>
      <c r="B187" s="58" t="s">
        <v>5</v>
      </c>
      <c r="C187" s="58">
        <v>225</v>
      </c>
      <c r="D187" s="2">
        <f t="shared" ref="D187" si="94">D188+D189</f>
        <v>27992701.129999999</v>
      </c>
      <c r="E187" s="2">
        <f>E188+E189</f>
        <v>27992701.129999999</v>
      </c>
      <c r="F187" s="2">
        <f t="shared" ref="F187:G187" si="95">F188+F189</f>
        <v>0</v>
      </c>
      <c r="G187" s="2">
        <f t="shared" si="95"/>
        <v>27992701.129999999</v>
      </c>
      <c r="H187" s="2">
        <f>H188+H189</f>
        <v>27992701.129999999</v>
      </c>
      <c r="I187" s="2">
        <f t="shared" ref="I187" si="96">I188+I189</f>
        <v>0</v>
      </c>
      <c r="J187" s="36"/>
      <c r="K187" s="36"/>
      <c r="L187" s="36"/>
    </row>
    <row r="188" spans="1:12" ht="18.75" x14ac:dyDescent="0.25">
      <c r="A188" s="216" t="s">
        <v>6</v>
      </c>
      <c r="B188" s="58">
        <v>243</v>
      </c>
      <c r="C188" s="58">
        <v>225</v>
      </c>
      <c r="D188" s="5">
        <f t="shared" ref="D188:D199" si="97">E188+F188</f>
        <v>0</v>
      </c>
      <c r="E188" s="2">
        <f>E51-E143</f>
        <v>0</v>
      </c>
      <c r="F188" s="2"/>
      <c r="G188" s="5">
        <f t="shared" ref="G188:G199" si="98">H188+I188</f>
        <v>0</v>
      </c>
      <c r="H188" s="2">
        <f>H51-H143</f>
        <v>0</v>
      </c>
      <c r="I188" s="2"/>
      <c r="J188" s="36"/>
      <c r="K188" s="36"/>
      <c r="L188" s="36"/>
    </row>
    <row r="189" spans="1:12" ht="18.75" x14ac:dyDescent="0.25">
      <c r="A189" s="216"/>
      <c r="B189" s="58">
        <v>244</v>
      </c>
      <c r="C189" s="58">
        <v>225</v>
      </c>
      <c r="D189" s="5">
        <f t="shared" si="97"/>
        <v>27992701.129999999</v>
      </c>
      <c r="E189" s="2">
        <f>E52-E144</f>
        <v>27992701.129999999</v>
      </c>
      <c r="F189" s="2"/>
      <c r="G189" s="5">
        <f t="shared" si="98"/>
        <v>27992701.129999999</v>
      </c>
      <c r="H189" s="2">
        <f>H52-H144</f>
        <v>27992701.129999999</v>
      </c>
      <c r="I189" s="2"/>
      <c r="J189" s="36"/>
      <c r="K189" s="36"/>
      <c r="L189" s="36"/>
    </row>
    <row r="190" spans="1:12" ht="37.5" x14ac:dyDescent="0.25">
      <c r="A190" s="54" t="s">
        <v>58</v>
      </c>
      <c r="B190" s="58" t="s">
        <v>5</v>
      </c>
      <c r="C190" s="58">
        <v>226</v>
      </c>
      <c r="D190" s="5">
        <f t="shared" si="97"/>
        <v>9008461.2799999993</v>
      </c>
      <c r="E190" s="2">
        <f>E191+E192</f>
        <v>9008461.2799999993</v>
      </c>
      <c r="F190" s="2">
        <f>F191+F192</f>
        <v>0</v>
      </c>
      <c r="G190" s="5">
        <f t="shared" si="98"/>
        <v>9008461.2799999993</v>
      </c>
      <c r="H190" s="2">
        <f>H191+H192</f>
        <v>9008461.2799999993</v>
      </c>
      <c r="I190" s="2">
        <f>I191+I192</f>
        <v>0</v>
      </c>
      <c r="J190" s="36"/>
      <c r="K190" s="36"/>
      <c r="L190" s="36"/>
    </row>
    <row r="191" spans="1:12" ht="18.75" x14ac:dyDescent="0.25">
      <c r="A191" s="216" t="s">
        <v>6</v>
      </c>
      <c r="B191" s="58">
        <v>243</v>
      </c>
      <c r="C191" s="58">
        <v>226</v>
      </c>
      <c r="D191" s="5">
        <f t="shared" si="97"/>
        <v>0</v>
      </c>
      <c r="E191" s="2">
        <f>E57-E146</f>
        <v>0</v>
      </c>
      <c r="F191" s="2"/>
      <c r="G191" s="5">
        <f t="shared" si="98"/>
        <v>0</v>
      </c>
      <c r="H191" s="2">
        <f>H57-H146</f>
        <v>0</v>
      </c>
      <c r="I191" s="2"/>
      <c r="J191" s="36"/>
      <c r="K191" s="36"/>
      <c r="L191" s="36"/>
    </row>
    <row r="192" spans="1:12" ht="18.75" x14ac:dyDescent="0.25">
      <c r="A192" s="216"/>
      <c r="B192" s="58">
        <v>244</v>
      </c>
      <c r="C192" s="58">
        <v>226</v>
      </c>
      <c r="D192" s="5">
        <f t="shared" si="97"/>
        <v>9008461.2799999993</v>
      </c>
      <c r="E192" s="2">
        <f>E58-E147</f>
        <v>9008461.2799999993</v>
      </c>
      <c r="F192" s="2"/>
      <c r="G192" s="5">
        <f t="shared" si="98"/>
        <v>9008461.2799999993</v>
      </c>
      <c r="H192" s="2">
        <f>H58-H147</f>
        <v>9008461.2799999993</v>
      </c>
      <c r="I192" s="2"/>
      <c r="J192" s="36"/>
      <c r="K192" s="36"/>
      <c r="L192" s="36"/>
    </row>
    <row r="193" spans="1:12" ht="18.75" x14ac:dyDescent="0.25">
      <c r="A193" s="54" t="s">
        <v>25</v>
      </c>
      <c r="B193" s="58">
        <v>244</v>
      </c>
      <c r="C193" s="58">
        <v>227</v>
      </c>
      <c r="D193" s="5">
        <f t="shared" si="97"/>
        <v>5067.62</v>
      </c>
      <c r="E193" s="2">
        <f>E59-E148</f>
        <v>5067.62</v>
      </c>
      <c r="F193" s="2"/>
      <c r="G193" s="5">
        <f t="shared" si="98"/>
        <v>5067.62</v>
      </c>
      <c r="H193" s="2">
        <f>H59-H148</f>
        <v>5067.62</v>
      </c>
      <c r="I193" s="2"/>
      <c r="J193" s="36"/>
      <c r="K193" s="36"/>
      <c r="L193" s="36"/>
    </row>
    <row r="194" spans="1:12" ht="56.25" x14ac:dyDescent="0.25">
      <c r="A194" s="170" t="s">
        <v>346</v>
      </c>
      <c r="B194" s="171">
        <v>244</v>
      </c>
      <c r="C194" s="171">
        <v>228</v>
      </c>
      <c r="D194" s="5">
        <f>E194+F194</f>
        <v>0</v>
      </c>
      <c r="E194" s="2">
        <f>E60-E149</f>
        <v>0</v>
      </c>
      <c r="F194" s="2"/>
      <c r="G194" s="5">
        <f t="shared" ref="G194" si="99">H194+I194</f>
        <v>0</v>
      </c>
      <c r="H194" s="2">
        <f>H60-H149</f>
        <v>0</v>
      </c>
      <c r="I194" s="2"/>
      <c r="J194" s="36"/>
      <c r="K194" s="36"/>
      <c r="L194" s="36"/>
    </row>
    <row r="195" spans="1:12" ht="18.75" x14ac:dyDescent="0.25">
      <c r="A195" s="54" t="s">
        <v>30</v>
      </c>
      <c r="B195" s="58" t="s">
        <v>5</v>
      </c>
      <c r="C195" s="58">
        <v>290</v>
      </c>
      <c r="D195" s="5">
        <f t="shared" si="97"/>
        <v>0</v>
      </c>
      <c r="E195" s="2">
        <f>E197+E198</f>
        <v>0</v>
      </c>
      <c r="F195" s="2">
        <f>F197+F198</f>
        <v>0</v>
      </c>
      <c r="G195" s="5">
        <f t="shared" si="98"/>
        <v>0</v>
      </c>
      <c r="H195" s="2">
        <f>H197+H198</f>
        <v>0</v>
      </c>
      <c r="I195" s="2">
        <f>I197+I198</f>
        <v>0</v>
      </c>
      <c r="J195" s="36"/>
      <c r="K195" s="36"/>
      <c r="L195" s="36"/>
    </row>
    <row r="196" spans="1:12" ht="18.75" x14ac:dyDescent="0.25">
      <c r="A196" s="54" t="s">
        <v>9</v>
      </c>
      <c r="B196" s="58"/>
      <c r="C196" s="58"/>
      <c r="D196" s="5">
        <f t="shared" si="97"/>
        <v>0</v>
      </c>
      <c r="E196" s="2"/>
      <c r="F196" s="2"/>
      <c r="G196" s="5">
        <f t="shared" si="98"/>
        <v>0</v>
      </c>
      <c r="H196" s="2"/>
      <c r="I196" s="2"/>
      <c r="J196" s="36"/>
      <c r="K196" s="36"/>
      <c r="L196" s="36"/>
    </row>
    <row r="197" spans="1:12" ht="56.25" x14ac:dyDescent="0.25">
      <c r="A197" s="54" t="s">
        <v>34</v>
      </c>
      <c r="B197" s="58">
        <v>244</v>
      </c>
      <c r="C197" s="58">
        <v>296</v>
      </c>
      <c r="D197" s="5">
        <f t="shared" si="97"/>
        <v>0</v>
      </c>
      <c r="E197" s="2">
        <f>E78-E152</f>
        <v>0</v>
      </c>
      <c r="F197" s="2"/>
      <c r="G197" s="5">
        <f t="shared" si="98"/>
        <v>0</v>
      </c>
      <c r="H197" s="2">
        <f>H78-H152</f>
        <v>0</v>
      </c>
      <c r="I197" s="2"/>
      <c r="J197" s="36"/>
      <c r="K197" s="36"/>
      <c r="L197" s="36"/>
    </row>
    <row r="198" spans="1:12" ht="56.25" x14ac:dyDescent="0.25">
      <c r="A198" s="54" t="s">
        <v>35</v>
      </c>
      <c r="B198" s="58">
        <v>244</v>
      </c>
      <c r="C198" s="58">
        <v>297</v>
      </c>
      <c r="D198" s="5">
        <f t="shared" si="97"/>
        <v>0</v>
      </c>
      <c r="E198" s="2">
        <f>E85-E153</f>
        <v>0</v>
      </c>
      <c r="F198" s="2"/>
      <c r="G198" s="5">
        <f t="shared" si="98"/>
        <v>0</v>
      </c>
      <c r="H198" s="2">
        <f>H85-H153</f>
        <v>0</v>
      </c>
      <c r="I198" s="2"/>
      <c r="J198" s="36"/>
      <c r="K198" s="36"/>
      <c r="L198" s="36"/>
    </row>
    <row r="199" spans="1:12" ht="56.25" x14ac:dyDescent="0.25">
      <c r="A199" s="54" t="s">
        <v>59</v>
      </c>
      <c r="B199" s="58" t="s">
        <v>5</v>
      </c>
      <c r="C199" s="58">
        <v>300</v>
      </c>
      <c r="D199" s="5">
        <f t="shared" si="97"/>
        <v>9401903.6199999992</v>
      </c>
      <c r="E199" s="2">
        <f>E201+E203+E202</f>
        <v>9401903.6199999992</v>
      </c>
      <c r="F199" s="2">
        <f>F201+F203+F202</f>
        <v>0</v>
      </c>
      <c r="G199" s="5">
        <f t="shared" si="98"/>
        <v>9401903.6199999992</v>
      </c>
      <c r="H199" s="2">
        <f>H201+H203+H202</f>
        <v>9401903.6199999992</v>
      </c>
      <c r="I199" s="2">
        <f>I201+I203+I202</f>
        <v>0</v>
      </c>
      <c r="J199" s="36"/>
      <c r="K199" s="36"/>
      <c r="L199" s="36"/>
    </row>
    <row r="200" spans="1:12" ht="18.75" x14ac:dyDescent="0.25">
      <c r="A200" s="54" t="s">
        <v>9</v>
      </c>
      <c r="B200" s="58"/>
      <c r="C200" s="58"/>
      <c r="D200" s="5"/>
      <c r="E200" s="2"/>
      <c r="F200" s="2"/>
      <c r="G200" s="5"/>
      <c r="H200" s="2"/>
      <c r="I200" s="2"/>
      <c r="J200" s="36"/>
      <c r="K200" s="36"/>
      <c r="L200" s="36"/>
    </row>
    <row r="201" spans="1:12" ht="56.25" x14ac:dyDescent="0.25">
      <c r="A201" s="54" t="s">
        <v>36</v>
      </c>
      <c r="B201" s="58">
        <v>244</v>
      </c>
      <c r="C201" s="58">
        <v>310</v>
      </c>
      <c r="D201" s="5">
        <f t="shared" ref="D201:D203" si="100">E201+F201</f>
        <v>0</v>
      </c>
      <c r="E201" s="2">
        <f>E90-E156</f>
        <v>0</v>
      </c>
      <c r="F201" s="2"/>
      <c r="G201" s="5">
        <f t="shared" ref="G201:G203" si="101">H201+I201</f>
        <v>0</v>
      </c>
      <c r="H201" s="2">
        <f>H90-H156</f>
        <v>0</v>
      </c>
      <c r="I201" s="2"/>
      <c r="J201" s="36"/>
      <c r="K201" s="36"/>
      <c r="L201" s="36"/>
    </row>
    <row r="202" spans="1:12" ht="75" x14ac:dyDescent="0.25">
      <c r="A202" s="54" t="s">
        <v>68</v>
      </c>
      <c r="B202" s="58">
        <v>244</v>
      </c>
      <c r="C202" s="58">
        <v>320</v>
      </c>
      <c r="D202" s="5">
        <f t="shared" si="100"/>
        <v>0</v>
      </c>
      <c r="E202" s="2">
        <f>E91-E157</f>
        <v>0</v>
      </c>
      <c r="F202" s="2"/>
      <c r="G202" s="5">
        <f t="shared" si="101"/>
        <v>0</v>
      </c>
      <c r="H202" s="2">
        <f>H91-H157</f>
        <v>0</v>
      </c>
      <c r="I202" s="2"/>
      <c r="J202" s="36"/>
      <c r="K202" s="36"/>
      <c r="L202" s="36"/>
    </row>
    <row r="203" spans="1:12" ht="75" x14ac:dyDescent="0.25">
      <c r="A203" s="54" t="s">
        <v>60</v>
      </c>
      <c r="B203" s="58" t="s">
        <v>5</v>
      </c>
      <c r="C203" s="58">
        <v>340</v>
      </c>
      <c r="D203" s="5">
        <f t="shared" si="100"/>
        <v>9401903.6199999992</v>
      </c>
      <c r="E203" s="2">
        <f>E205+E206+E207+E208+E209+E210+E212</f>
        <v>9401903.6199999992</v>
      </c>
      <c r="F203" s="2">
        <f>F205+F206+F207+F208+F209+F210+F212</f>
        <v>0</v>
      </c>
      <c r="G203" s="5">
        <f t="shared" si="101"/>
        <v>9401903.6199999992</v>
      </c>
      <c r="H203" s="2">
        <f>H205+H206+H207+H208+H209+H210+H212</f>
        <v>9401903.6199999992</v>
      </c>
      <c r="I203" s="2">
        <f>I205+I206+I207+I208+I209+I210+I212</f>
        <v>0</v>
      </c>
      <c r="J203" s="36"/>
      <c r="K203" s="36"/>
      <c r="L203" s="36"/>
    </row>
    <row r="204" spans="1:12" ht="18.75" x14ac:dyDescent="0.25">
      <c r="A204" s="54" t="s">
        <v>6</v>
      </c>
      <c r="B204" s="58"/>
      <c r="C204" s="58"/>
      <c r="D204" s="5"/>
      <c r="E204" s="2"/>
      <c r="F204" s="2"/>
      <c r="G204" s="5"/>
      <c r="H204" s="2"/>
      <c r="I204" s="2"/>
      <c r="J204" s="36"/>
      <c r="K204" s="36"/>
      <c r="L204" s="36"/>
    </row>
    <row r="205" spans="1:12" ht="131.25" x14ac:dyDescent="0.25">
      <c r="A205" s="54" t="s">
        <v>37</v>
      </c>
      <c r="B205" s="58">
        <v>244</v>
      </c>
      <c r="C205" s="58">
        <v>341</v>
      </c>
      <c r="D205" s="5">
        <f t="shared" ref="D205:D212" si="102">E205+F205</f>
        <v>0</v>
      </c>
      <c r="E205" s="2">
        <f t="shared" ref="E205:E211" si="103">E94-E160</f>
        <v>0</v>
      </c>
      <c r="F205" s="2"/>
      <c r="G205" s="5">
        <f t="shared" ref="G205:G212" si="104">H205+I205</f>
        <v>0</v>
      </c>
      <c r="H205" s="2">
        <f t="shared" ref="H205:H211" si="105">H94-H160</f>
        <v>0</v>
      </c>
      <c r="I205" s="2"/>
      <c r="J205" s="36"/>
      <c r="K205" s="36"/>
      <c r="L205" s="36"/>
    </row>
    <row r="206" spans="1:12" ht="56.25" x14ac:dyDescent="0.25">
      <c r="A206" s="54" t="s">
        <v>38</v>
      </c>
      <c r="B206" s="58">
        <v>244</v>
      </c>
      <c r="C206" s="58">
        <v>342</v>
      </c>
      <c r="D206" s="5">
        <f t="shared" si="102"/>
        <v>0</v>
      </c>
      <c r="E206" s="2">
        <f t="shared" si="103"/>
        <v>0</v>
      </c>
      <c r="F206" s="2"/>
      <c r="G206" s="5">
        <f t="shared" si="104"/>
        <v>0</v>
      </c>
      <c r="H206" s="2">
        <f t="shared" si="105"/>
        <v>0</v>
      </c>
      <c r="I206" s="2"/>
      <c r="J206" s="36"/>
      <c r="K206" s="36"/>
      <c r="L206" s="36"/>
    </row>
    <row r="207" spans="1:12" ht="75" x14ac:dyDescent="0.25">
      <c r="A207" s="54" t="s">
        <v>39</v>
      </c>
      <c r="B207" s="58">
        <v>244</v>
      </c>
      <c r="C207" s="58">
        <v>343</v>
      </c>
      <c r="D207" s="5">
        <f t="shared" si="102"/>
        <v>290000</v>
      </c>
      <c r="E207" s="2">
        <f t="shared" si="103"/>
        <v>290000</v>
      </c>
      <c r="F207" s="2"/>
      <c r="G207" s="5">
        <f t="shared" si="104"/>
        <v>290000</v>
      </c>
      <c r="H207" s="2">
        <f t="shared" si="105"/>
        <v>290000</v>
      </c>
      <c r="I207" s="2"/>
      <c r="J207" s="36"/>
      <c r="K207" s="36"/>
      <c r="L207" s="36"/>
    </row>
    <row r="208" spans="1:12" ht="75" x14ac:dyDescent="0.25">
      <c r="A208" s="54" t="s">
        <v>40</v>
      </c>
      <c r="B208" s="58">
        <v>244</v>
      </c>
      <c r="C208" s="58">
        <v>344</v>
      </c>
      <c r="D208" s="5">
        <f t="shared" si="102"/>
        <v>200000</v>
      </c>
      <c r="E208" s="2">
        <f t="shared" si="103"/>
        <v>200000</v>
      </c>
      <c r="F208" s="2"/>
      <c r="G208" s="5">
        <f t="shared" si="104"/>
        <v>200000</v>
      </c>
      <c r="H208" s="2">
        <f t="shared" si="105"/>
        <v>200000</v>
      </c>
      <c r="I208" s="2"/>
      <c r="J208" s="36"/>
      <c r="K208" s="36"/>
      <c r="L208" s="36"/>
    </row>
    <row r="209" spans="1:12" ht="56.25" x14ac:dyDescent="0.25">
      <c r="A209" s="54" t="s">
        <v>41</v>
      </c>
      <c r="B209" s="58">
        <v>244</v>
      </c>
      <c r="C209" s="58">
        <v>345</v>
      </c>
      <c r="D209" s="5">
        <f t="shared" si="102"/>
        <v>334245</v>
      </c>
      <c r="E209" s="2">
        <f t="shared" si="103"/>
        <v>334245</v>
      </c>
      <c r="F209" s="2"/>
      <c r="G209" s="5">
        <f t="shared" si="104"/>
        <v>334245</v>
      </c>
      <c r="H209" s="2">
        <f t="shared" si="105"/>
        <v>334245</v>
      </c>
      <c r="I209" s="2"/>
      <c r="J209" s="36"/>
      <c r="K209" s="36"/>
      <c r="L209" s="36"/>
    </row>
    <row r="210" spans="1:12" ht="75" x14ac:dyDescent="0.25">
      <c r="A210" s="54" t="s">
        <v>42</v>
      </c>
      <c r="B210" s="58">
        <v>244</v>
      </c>
      <c r="C210" s="58">
        <v>346</v>
      </c>
      <c r="D210" s="5">
        <f t="shared" si="102"/>
        <v>8428958.6199999992</v>
      </c>
      <c r="E210" s="2">
        <f t="shared" si="103"/>
        <v>8428958.6199999992</v>
      </c>
      <c r="F210" s="2"/>
      <c r="G210" s="5">
        <f t="shared" si="104"/>
        <v>8428958.6199999992</v>
      </c>
      <c r="H210" s="2">
        <f t="shared" si="105"/>
        <v>8428958.6199999992</v>
      </c>
      <c r="I210" s="2"/>
      <c r="J210" s="36"/>
      <c r="K210" s="36"/>
      <c r="L210" s="36"/>
    </row>
    <row r="211" spans="1:12" ht="112.5" x14ac:dyDescent="0.25">
      <c r="A211" s="170" t="s">
        <v>347</v>
      </c>
      <c r="B211" s="171">
        <v>244</v>
      </c>
      <c r="C211" s="171">
        <v>347</v>
      </c>
      <c r="D211" s="5">
        <f>E211+F211</f>
        <v>0</v>
      </c>
      <c r="E211" s="2">
        <f t="shared" si="103"/>
        <v>0</v>
      </c>
      <c r="F211" s="2"/>
      <c r="G211" s="5">
        <f t="shared" ref="G211" si="106">H211+I211</f>
        <v>0</v>
      </c>
      <c r="H211" s="2">
        <f t="shared" si="105"/>
        <v>0</v>
      </c>
      <c r="I211" s="2"/>
      <c r="J211" s="36"/>
      <c r="K211" s="36"/>
      <c r="L211" s="36"/>
    </row>
    <row r="212" spans="1:12" ht="112.5" x14ac:dyDescent="0.25">
      <c r="A212" s="54" t="s">
        <v>43</v>
      </c>
      <c r="B212" s="58">
        <v>244</v>
      </c>
      <c r="C212" s="58">
        <v>349</v>
      </c>
      <c r="D212" s="5">
        <f t="shared" si="102"/>
        <v>148700</v>
      </c>
      <c r="E212" s="2">
        <f t="shared" ref="E212" si="107">E101-E167</f>
        <v>148700</v>
      </c>
      <c r="F212" s="2"/>
      <c r="G212" s="5">
        <f t="shared" si="104"/>
        <v>148700</v>
      </c>
      <c r="H212" s="2">
        <f t="shared" ref="H212" si="108">H101-H167</f>
        <v>148700</v>
      </c>
      <c r="I212" s="2"/>
      <c r="J212" s="36"/>
      <c r="K212" s="36"/>
      <c r="L212" s="36"/>
    </row>
  </sheetData>
  <mergeCells count="39">
    <mergeCell ref="B109:C109"/>
    <mergeCell ref="E109:F109"/>
    <mergeCell ref="B112:C112"/>
    <mergeCell ref="E112:F112"/>
    <mergeCell ref="A30:A31"/>
    <mergeCell ref="A36:A37"/>
    <mergeCell ref="A51:A52"/>
    <mergeCell ref="A54:A58"/>
    <mergeCell ref="A65:A66"/>
    <mergeCell ref="A71:A73"/>
    <mergeCell ref="A78:A83"/>
    <mergeCell ref="A85:A87"/>
    <mergeCell ref="G5:G6"/>
    <mergeCell ref="H5:I5"/>
    <mergeCell ref="E5:F5"/>
    <mergeCell ref="A2:I2"/>
    <mergeCell ref="A1:I1"/>
    <mergeCell ref="A5:A6"/>
    <mergeCell ref="B5:B6"/>
    <mergeCell ref="C5:C6"/>
    <mergeCell ref="D5:D6"/>
    <mergeCell ref="B116:C116"/>
    <mergeCell ref="E116:F116"/>
    <mergeCell ref="A118:B118"/>
    <mergeCell ref="B110:C110"/>
    <mergeCell ref="E110:F110"/>
    <mergeCell ref="B113:C113"/>
    <mergeCell ref="E113:F113"/>
    <mergeCell ref="B115:C115"/>
    <mergeCell ref="E115:F115"/>
    <mergeCell ref="N119:P119"/>
    <mergeCell ref="A119:I119"/>
    <mergeCell ref="A188:A189"/>
    <mergeCell ref="A191:A192"/>
    <mergeCell ref="A123:I123"/>
    <mergeCell ref="A168:I168"/>
    <mergeCell ref="K119:M119"/>
    <mergeCell ref="A143:A144"/>
    <mergeCell ref="A146:A147"/>
  </mergeCells>
  <pageMargins left="0.78740157480314965" right="0.78740157480314965" top="1.3779527559055118" bottom="0.39370078740157483" header="0.31496062992125984" footer="0.31496062992125984"/>
  <pageSetup paperSize="9" scale="60" orientation="landscape" r:id="rId1"/>
  <rowBreaks count="7" manualBreakCount="7">
    <brk id="18" max="8" man="1"/>
    <brk id="32" max="8" man="1"/>
    <brk id="47" max="8" man="1"/>
    <brk id="61" max="8" man="1"/>
    <brk id="72" max="8" man="1"/>
    <brk id="87" max="8" man="1"/>
    <brk id="98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9"/>
  <sheetViews>
    <sheetView view="pageBreakPreview" zoomScaleNormal="100" zoomScaleSheetLayoutView="100" workbookViewId="0">
      <selection activeCell="G9" sqref="G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2" t="s">
        <v>267</v>
      </c>
      <c r="B1" s="232"/>
      <c r="C1" s="232"/>
      <c r="D1" s="232"/>
      <c r="E1" s="232"/>
      <c r="F1" s="232"/>
      <c r="G1" s="232"/>
      <c r="H1" s="232"/>
      <c r="I1" s="232"/>
    </row>
    <row r="2" spans="1:9" ht="18.75" x14ac:dyDescent="0.25">
      <c r="A2" s="232" t="s">
        <v>473</v>
      </c>
      <c r="B2" s="232"/>
      <c r="C2" s="232"/>
      <c r="D2" s="232"/>
      <c r="E2" s="232"/>
      <c r="F2" s="232"/>
      <c r="G2" s="232"/>
      <c r="H2" s="232"/>
      <c r="I2" s="232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392</v>
      </c>
      <c r="F5" s="226"/>
      <c r="G5" s="226" t="s">
        <v>1</v>
      </c>
      <c r="H5" s="226" t="s">
        <v>474</v>
      </c>
      <c r="I5" s="226"/>
    </row>
    <row r="6" spans="1:9" ht="15.75" x14ac:dyDescent="0.25">
      <c r="A6" s="323"/>
      <c r="B6" s="324"/>
      <c r="C6" s="325"/>
      <c r="D6" s="324"/>
      <c r="E6" s="324" t="s">
        <v>6</v>
      </c>
      <c r="F6" s="324"/>
      <c r="G6" s="324"/>
      <c r="H6" s="324" t="s">
        <v>6</v>
      </c>
      <c r="I6" s="326"/>
    </row>
    <row r="7" spans="1:9" ht="212.45" customHeight="1" thickBot="1" x14ac:dyDescent="0.3">
      <c r="A7" s="225"/>
      <c r="B7" s="227"/>
      <c r="C7" s="229"/>
      <c r="D7" s="227"/>
      <c r="E7" s="117" t="s">
        <v>198</v>
      </c>
      <c r="F7" s="117" t="s">
        <v>199</v>
      </c>
      <c r="G7" s="227"/>
      <c r="H7" s="117" t="s">
        <v>198</v>
      </c>
      <c r="I7" s="38" t="s">
        <v>199</v>
      </c>
    </row>
    <row r="8" spans="1:9" ht="19.5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9">
        <v>9</v>
      </c>
    </row>
    <row r="9" spans="1:9" ht="112.5" x14ac:dyDescent="0.25">
      <c r="A9" s="39" t="s">
        <v>69</v>
      </c>
      <c r="B9" s="40" t="s">
        <v>5</v>
      </c>
      <c r="C9" s="40" t="s">
        <v>5</v>
      </c>
      <c r="D9" s="41">
        <f>E9+F9</f>
        <v>84899736.810000017</v>
      </c>
      <c r="E9" s="90">
        <f>E10+E11</f>
        <v>84899736.810000017</v>
      </c>
      <c r="F9" s="90"/>
      <c r="G9" s="41">
        <f t="shared" ref="G9:G10" si="0">H9+I9</f>
        <v>84899736.810000017</v>
      </c>
      <c r="H9" s="90">
        <f>H10+H11</f>
        <v>84899736.810000017</v>
      </c>
      <c r="I9" s="91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ref="D10" si="1">E10+F10</f>
        <v>84899736.810000017</v>
      </c>
      <c r="E10" s="2">
        <f>E13+E46+E61+E94</f>
        <v>84899736.810000017</v>
      </c>
      <c r="F10" s="2">
        <f>F13+F46+F61+F94</f>
        <v>0</v>
      </c>
      <c r="G10" s="5">
        <f t="shared" si="0"/>
        <v>84899736.810000017</v>
      </c>
      <c r="H10" s="2">
        <f>H13+H46+H61+H94</f>
        <v>84899736.810000017</v>
      </c>
      <c r="I10" s="2">
        <f>I13+I46+I61+I94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0" t="s">
        <v>200</v>
      </c>
      <c r="B12" s="321"/>
      <c r="C12" s="321"/>
      <c r="D12" s="321"/>
      <c r="E12" s="321"/>
      <c r="F12" s="321"/>
      <c r="G12" s="321"/>
      <c r="H12" s="321"/>
      <c r="I12" s="322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50" si="2">E13+F13</f>
        <v>0</v>
      </c>
      <c r="E13" s="2">
        <f>E15+E18+E42</f>
        <v>0</v>
      </c>
      <c r="F13" s="2">
        <f>F15+F18+F42</f>
        <v>0</v>
      </c>
      <c r="G13" s="5">
        <f t="shared" ref="G13" si="3">H13+I13</f>
        <v>0</v>
      </c>
      <c r="H13" s="2">
        <f>H15+H18+H42</f>
        <v>0</v>
      </c>
      <c r="I13" s="4">
        <f>I15+I18+I42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'гос.задание на 2023-2024 год '!E128</f>
        <v>0</v>
      </c>
      <c r="F17" s="2">
        <f>'гос.задание на 2023-2024 год '!F128</f>
        <v>0</v>
      </c>
      <c r="G17" s="5">
        <f>H17+I17</f>
        <v>0</v>
      </c>
      <c r="H17" s="2">
        <f>'гос.задание на 2023-2024 год '!H128</f>
        <v>0</v>
      </c>
      <c r="I17" s="2">
        <f>'гос.задание на 2023-2024 год '!I128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E20+E21+E22+E33+E34+E37+E40</f>
        <v>0</v>
      </c>
      <c r="F18" s="2">
        <f>F20+F21+F22+F33+F34+F37+F40</f>
        <v>0</v>
      </c>
      <c r="G18" s="5">
        <f t="shared" ref="G18" si="5">H18+I18</f>
        <v>0</v>
      </c>
      <c r="H18" s="2">
        <f>H20+H21+H22+H33+H34+H37+H40</f>
        <v>0</v>
      </c>
      <c r="I18" s="4">
        <f>I20+I21+I22+I33+I34+I37+I40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'гос.задание на 2023-2024 год '!E131</f>
        <v>0</v>
      </c>
      <c r="F20" s="2">
        <f>'гос.задание на 2023-2024 год '!F131</f>
        <v>0</v>
      </c>
      <c r="G20" s="5">
        <f t="shared" ref="G20:G22" si="6">H20+I20</f>
        <v>0</v>
      </c>
      <c r="H20" s="2">
        <f>'гос.задание на 2023-2024 год '!H131</f>
        <v>0</v>
      </c>
      <c r="I20" s="2">
        <f>'гос.задание на 2023-2024 год '!I131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'гос.задание на 2023-2024 год '!E132</f>
        <v>0</v>
      </c>
      <c r="F21" s="2">
        <f>'гос.задание на 2023-2024 год '!F132</f>
        <v>0</v>
      </c>
      <c r="G21" s="5">
        <f t="shared" si="6"/>
        <v>0</v>
      </c>
      <c r="H21" s="2">
        <f>'гос.задание на 2023-2024 год '!H132</f>
        <v>0</v>
      </c>
      <c r="I21" s="2">
        <f>'гос.задание на 2023-2024 год '!I132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E25+E27+E29+E30+E31</f>
        <v>0</v>
      </c>
      <c r="F22" s="2">
        <f t="shared" si="7"/>
        <v>0</v>
      </c>
      <c r="G22" s="5">
        <f t="shared" si="6"/>
        <v>0</v>
      </c>
      <c r="H22" s="2">
        <f t="shared" ref="H22:I22" si="8">H25+H27+H29+H30+H31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90" t="s">
        <v>18</v>
      </c>
      <c r="B24" s="191">
        <v>244</v>
      </c>
      <c r="C24" s="191">
        <v>223</v>
      </c>
      <c r="D24" s="5">
        <f t="shared" ref="D24" si="9">E24+F24</f>
        <v>0</v>
      </c>
      <c r="E24" s="2">
        <f>'гос.задание на 2023-2024 год '!E134</f>
        <v>0</v>
      </c>
      <c r="F24" s="2">
        <f>'гос.задание на 2023-2024 год '!F134</f>
        <v>0</v>
      </c>
      <c r="G24" s="5">
        <f t="shared" ref="G24" si="10">H24+I24</f>
        <v>0</v>
      </c>
      <c r="H24" s="2">
        <f>'гос.задание на 2023-2024 год '!H134</f>
        <v>0</v>
      </c>
      <c r="I24" s="2">
        <f>'гос.задание на 2023-2024 год '!I134</f>
        <v>0</v>
      </c>
    </row>
    <row r="25" spans="1:9" ht="56.25" x14ac:dyDescent="0.25">
      <c r="A25" s="115" t="s">
        <v>18</v>
      </c>
      <c r="B25" s="119">
        <v>247</v>
      </c>
      <c r="C25" s="119">
        <v>223</v>
      </c>
      <c r="D25" s="5">
        <f t="shared" si="2"/>
        <v>0</v>
      </c>
      <c r="E25" s="2">
        <f>'гос.задание на 2023-2024 год '!E135</f>
        <v>0</v>
      </c>
      <c r="F25" s="2">
        <f>'гос.задание на 2023-2024 год '!F135</f>
        <v>0</v>
      </c>
      <c r="G25" s="5">
        <f t="shared" ref="G25:G33" si="11">H25+I25</f>
        <v>0</v>
      </c>
      <c r="H25" s="2">
        <f>'гос.задание на 2023-2024 год '!H135</f>
        <v>0</v>
      </c>
      <c r="I25" s="2">
        <f>'гос.задание на 2023-2024 год '!I135</f>
        <v>0</v>
      </c>
    </row>
    <row r="26" spans="1:9" ht="37.5" x14ac:dyDescent="0.25">
      <c r="A26" s="190" t="s">
        <v>19</v>
      </c>
      <c r="B26" s="191">
        <v>244</v>
      </c>
      <c r="C26" s="191">
        <v>223</v>
      </c>
      <c r="D26" s="5">
        <f t="shared" ref="D26" si="12">E26+F26</f>
        <v>0</v>
      </c>
      <c r="E26" s="2">
        <f>'гос.задание на 2023-2024 год '!E135</f>
        <v>0</v>
      </c>
      <c r="F26" s="2">
        <f>'гос.задание на 2023-2024 год '!F135</f>
        <v>0</v>
      </c>
      <c r="G26" s="5">
        <f t="shared" ref="G26" si="13">H26+I26</f>
        <v>0</v>
      </c>
      <c r="H26" s="2">
        <f>'гос.задание на 2023-2024 год '!H135</f>
        <v>0</v>
      </c>
      <c r="I26" s="2">
        <f>'гос.задание на 2023-2024 год '!I135</f>
        <v>0</v>
      </c>
    </row>
    <row r="27" spans="1:9" ht="37.5" x14ac:dyDescent="0.25">
      <c r="A27" s="115" t="s">
        <v>19</v>
      </c>
      <c r="B27" s="119">
        <v>247</v>
      </c>
      <c r="C27" s="119">
        <v>223</v>
      </c>
      <c r="D27" s="5">
        <f t="shared" si="2"/>
        <v>0</v>
      </c>
      <c r="E27" s="2">
        <f>'гос.задание на 2023-2024 год '!E136</f>
        <v>0</v>
      </c>
      <c r="F27" s="2">
        <f>'гос.задание на 2023-2024 год '!F136</f>
        <v>0</v>
      </c>
      <c r="G27" s="5">
        <f t="shared" si="11"/>
        <v>0</v>
      </c>
      <c r="H27" s="2">
        <f>'гос.задание на 2023-2024 год '!H136</f>
        <v>0</v>
      </c>
      <c r="I27" s="2">
        <f>'гос.задание на 2023-2024 год '!I136</f>
        <v>0</v>
      </c>
    </row>
    <row r="28" spans="1:9" ht="75" x14ac:dyDescent="0.25">
      <c r="A28" s="190" t="s">
        <v>20</v>
      </c>
      <c r="B28" s="191">
        <v>244</v>
      </c>
      <c r="C28" s="191">
        <v>223</v>
      </c>
      <c r="D28" s="5">
        <f t="shared" ref="D28" si="14">E28+F28</f>
        <v>0</v>
      </c>
      <c r="E28" s="2">
        <v>0</v>
      </c>
      <c r="F28" s="2">
        <f>'гос.задание на 2023-2024 год '!F136</f>
        <v>0</v>
      </c>
      <c r="G28" s="5">
        <f t="shared" ref="G28" si="15">H28+I28</f>
        <v>0</v>
      </c>
      <c r="H28" s="2">
        <f>'гос.задание на 2023-2024 год '!H136</f>
        <v>0</v>
      </c>
      <c r="I28" s="2">
        <f>'гос.задание на 2023-2024 год '!I136</f>
        <v>0</v>
      </c>
    </row>
    <row r="29" spans="1:9" ht="75" x14ac:dyDescent="0.25">
      <c r="A29" s="115" t="s">
        <v>20</v>
      </c>
      <c r="B29" s="119">
        <v>247</v>
      </c>
      <c r="C29" s="119">
        <v>223</v>
      </c>
      <c r="D29" s="5">
        <f t="shared" si="2"/>
        <v>0</v>
      </c>
      <c r="E29" s="2">
        <f>'гос.задание на 2023-2024 год '!E137</f>
        <v>0</v>
      </c>
      <c r="F29" s="2">
        <f>'гос.задание на 2023-2024 год '!F137</f>
        <v>0</v>
      </c>
      <c r="G29" s="5">
        <f t="shared" si="11"/>
        <v>0</v>
      </c>
      <c r="H29" s="2">
        <f>'гос.задание на 2023-2024 год '!H137</f>
        <v>0</v>
      </c>
      <c r="I29" s="2">
        <f>'гос.задание на 2023-2024 год '!I137</f>
        <v>0</v>
      </c>
    </row>
    <row r="30" spans="1:9" ht="75" x14ac:dyDescent="0.25">
      <c r="A30" s="115" t="s">
        <v>21</v>
      </c>
      <c r="B30" s="119">
        <v>244</v>
      </c>
      <c r="C30" s="119">
        <v>223</v>
      </c>
      <c r="D30" s="5">
        <f t="shared" si="2"/>
        <v>0</v>
      </c>
      <c r="E30" s="2">
        <f>'гос.задание на 2023-2024 год '!E138</f>
        <v>0</v>
      </c>
      <c r="F30" s="2">
        <f>'гос.задание на 2023-2024 год '!F138</f>
        <v>0</v>
      </c>
      <c r="G30" s="5">
        <f t="shared" si="11"/>
        <v>0</v>
      </c>
      <c r="H30" s="2">
        <f>'гос.задание на 2023-2024 год '!H138</f>
        <v>0</v>
      </c>
      <c r="I30" s="2">
        <f>'гос.задание на 2023-2024 год '!I138</f>
        <v>0</v>
      </c>
    </row>
    <row r="31" spans="1:9" ht="56.25" x14ac:dyDescent="0.25">
      <c r="A31" s="115" t="s">
        <v>22</v>
      </c>
      <c r="B31" s="119">
        <v>244</v>
      </c>
      <c r="C31" s="119">
        <v>223</v>
      </c>
      <c r="D31" s="5">
        <f t="shared" si="2"/>
        <v>0</v>
      </c>
      <c r="E31" s="2">
        <f>'гос.задание на 2023-2024 год '!E139</f>
        <v>0</v>
      </c>
      <c r="F31" s="2">
        <f>'гос.задание на 2023-2024 год '!F139</f>
        <v>0</v>
      </c>
      <c r="G31" s="5">
        <f t="shared" si="11"/>
        <v>0</v>
      </c>
      <c r="H31" s="2">
        <f>'гос.задание на 2023-2024 год '!H139</f>
        <v>0</v>
      </c>
      <c r="I31" s="2">
        <f>'гос.задание на 2023-2024 год '!I139</f>
        <v>0</v>
      </c>
    </row>
    <row r="32" spans="1:9" ht="56.25" x14ac:dyDescent="0.25">
      <c r="A32" s="195" t="s">
        <v>446</v>
      </c>
      <c r="B32" s="196">
        <v>244</v>
      </c>
      <c r="C32" s="196">
        <v>223</v>
      </c>
      <c r="D32" s="5">
        <f t="shared" ref="D32" si="16">E32+F32</f>
        <v>0</v>
      </c>
      <c r="E32" s="2">
        <f>'гос.задание на 2023-2024 год '!E140</f>
        <v>0</v>
      </c>
      <c r="F32" s="2">
        <f>'гос.задание на 2023-2024 год '!F140</f>
        <v>0</v>
      </c>
      <c r="G32" s="5">
        <f t="shared" ref="G32" si="17">H32+I32</f>
        <v>0</v>
      </c>
      <c r="H32" s="2">
        <f>'гос.задание на 2023-2024 год '!H140</f>
        <v>0</v>
      </c>
      <c r="I32" s="2">
        <f>'гос.задание на 2023-2024 год '!I140</f>
        <v>0</v>
      </c>
    </row>
    <row r="33" spans="1:9" ht="168.75" x14ac:dyDescent="0.25">
      <c r="A33" s="115" t="s">
        <v>23</v>
      </c>
      <c r="B33" s="119">
        <v>244</v>
      </c>
      <c r="C33" s="119">
        <v>224</v>
      </c>
      <c r="D33" s="5">
        <f t="shared" si="2"/>
        <v>0</v>
      </c>
      <c r="E33" s="2">
        <f>'гос.задание на 2023-2024 год '!E141</f>
        <v>0</v>
      </c>
      <c r="F33" s="2">
        <f>'гос.задание на 2023-2024 год '!F141</f>
        <v>0</v>
      </c>
      <c r="G33" s="5">
        <f t="shared" si="11"/>
        <v>0</v>
      </c>
      <c r="H33" s="2">
        <f>'гос.задание на 2023-2024 год '!H141</f>
        <v>0</v>
      </c>
      <c r="I33" s="2">
        <f>'гос.задание на 2023-2024 год '!I141</f>
        <v>0</v>
      </c>
    </row>
    <row r="34" spans="1:9" ht="56.25" x14ac:dyDescent="0.25">
      <c r="A34" s="115" t="s">
        <v>24</v>
      </c>
      <c r="B34" s="119" t="s">
        <v>5</v>
      </c>
      <c r="C34" s="119">
        <v>225</v>
      </c>
      <c r="D34" s="2">
        <f t="shared" ref="D34:F34" si="18">D35+D36</f>
        <v>0</v>
      </c>
      <c r="E34" s="2">
        <f>E35+E36</f>
        <v>0</v>
      </c>
      <c r="F34" s="2">
        <f t="shared" si="18"/>
        <v>0</v>
      </c>
      <c r="G34" s="2">
        <f t="shared" ref="G34" si="19">G35+G36</f>
        <v>0</v>
      </c>
      <c r="H34" s="2">
        <f>H35+H36</f>
        <v>0</v>
      </c>
      <c r="I34" s="4">
        <f t="shared" ref="I34" si="20">I35+I36</f>
        <v>0</v>
      </c>
    </row>
    <row r="35" spans="1:9" ht="18.75" x14ac:dyDescent="0.25">
      <c r="A35" s="216" t="s">
        <v>6</v>
      </c>
      <c r="B35" s="119">
        <v>243</v>
      </c>
      <c r="C35" s="119">
        <v>225</v>
      </c>
      <c r="D35" s="5">
        <f t="shared" si="2"/>
        <v>0</v>
      </c>
      <c r="E35" s="2">
        <f>'гос.задание на 2023-2024 год '!E143</f>
        <v>0</v>
      </c>
      <c r="F35" s="2">
        <f>'гос.задание на 2023-2024 год '!F143</f>
        <v>0</v>
      </c>
      <c r="G35" s="5">
        <f t="shared" ref="G35:G46" si="21">H35+I35</f>
        <v>0</v>
      </c>
      <c r="H35" s="2">
        <f>'гос.задание на 2023-2024 год '!H143</f>
        <v>0</v>
      </c>
      <c r="I35" s="2">
        <f>'гос.задание на 2023-2024 год '!I143</f>
        <v>0</v>
      </c>
    </row>
    <row r="36" spans="1:9" ht="18.75" x14ac:dyDescent="0.25">
      <c r="A36" s="216"/>
      <c r="B36" s="119">
        <v>244</v>
      </c>
      <c r="C36" s="119">
        <v>225</v>
      </c>
      <c r="D36" s="5">
        <f t="shared" si="2"/>
        <v>0</v>
      </c>
      <c r="E36" s="2">
        <f>'гос.задание на 2023-2024 год '!E144</f>
        <v>0</v>
      </c>
      <c r="F36" s="2">
        <f>'гос.задание на 2023-2024 год '!F144</f>
        <v>0</v>
      </c>
      <c r="G36" s="5">
        <f t="shared" si="21"/>
        <v>0</v>
      </c>
      <c r="H36" s="2">
        <f>'гос.задание на 2023-2024 год '!H144</f>
        <v>0</v>
      </c>
      <c r="I36" s="2">
        <f>'гос.задание на 2023-2024 год '!I144</f>
        <v>0</v>
      </c>
    </row>
    <row r="37" spans="1:9" ht="37.5" x14ac:dyDescent="0.25">
      <c r="A37" s="115" t="s">
        <v>58</v>
      </c>
      <c r="B37" s="119" t="s">
        <v>5</v>
      </c>
      <c r="C37" s="119">
        <v>226</v>
      </c>
      <c r="D37" s="5">
        <f t="shared" si="2"/>
        <v>0</v>
      </c>
      <c r="E37" s="2">
        <f>E38+E39</f>
        <v>0</v>
      </c>
      <c r="F37" s="2">
        <f>F38+F39</f>
        <v>0</v>
      </c>
      <c r="G37" s="5">
        <f t="shared" si="21"/>
        <v>0</v>
      </c>
      <c r="H37" s="2">
        <f>H38+H39</f>
        <v>0</v>
      </c>
      <c r="I37" s="4">
        <f>I38+I39</f>
        <v>0</v>
      </c>
    </row>
    <row r="38" spans="1:9" ht="18.75" x14ac:dyDescent="0.25">
      <c r="A38" s="216" t="s">
        <v>6</v>
      </c>
      <c r="B38" s="119">
        <v>243</v>
      </c>
      <c r="C38" s="119">
        <v>226</v>
      </c>
      <c r="D38" s="5">
        <f t="shared" si="2"/>
        <v>0</v>
      </c>
      <c r="E38" s="2">
        <f>'гос.задание на 2023-2024 год '!E146</f>
        <v>0</v>
      </c>
      <c r="F38" s="2">
        <f>'гос.задание на 2023-2024 год '!F146</f>
        <v>0</v>
      </c>
      <c r="G38" s="5">
        <f t="shared" si="21"/>
        <v>0</v>
      </c>
      <c r="H38" s="2">
        <f>'гос.задание на 2023-2024 год '!H146</f>
        <v>0</v>
      </c>
      <c r="I38" s="2">
        <f>'гос.задание на 2023-2024 год '!I146</f>
        <v>0</v>
      </c>
    </row>
    <row r="39" spans="1:9" ht="18.75" x14ac:dyDescent="0.25">
      <c r="A39" s="216"/>
      <c r="B39" s="119">
        <v>244</v>
      </c>
      <c r="C39" s="119">
        <v>226</v>
      </c>
      <c r="D39" s="5">
        <f t="shared" si="2"/>
        <v>0</v>
      </c>
      <c r="E39" s="2">
        <f>'гос.задание на 2023-2024 год '!E147</f>
        <v>0</v>
      </c>
      <c r="F39" s="2">
        <f>'гос.задание на 2023-2024 год '!F147</f>
        <v>0</v>
      </c>
      <c r="G39" s="5">
        <f t="shared" si="21"/>
        <v>0</v>
      </c>
      <c r="H39" s="2">
        <f>'гос.задание на 2023-2024 год '!H147</f>
        <v>0</v>
      </c>
      <c r="I39" s="2">
        <f>'гос.задание на 2023-2024 год '!I147</f>
        <v>0</v>
      </c>
    </row>
    <row r="40" spans="1:9" ht="18.75" x14ac:dyDescent="0.25">
      <c r="A40" s="115" t="s">
        <v>25</v>
      </c>
      <c r="B40" s="119">
        <v>244</v>
      </c>
      <c r="C40" s="119">
        <v>227</v>
      </c>
      <c r="D40" s="5">
        <f t="shared" si="2"/>
        <v>0</v>
      </c>
      <c r="E40" s="2">
        <f>'гос.задание на 2023-2024 год '!E148</f>
        <v>0</v>
      </c>
      <c r="F40" s="2">
        <f>'гос.задание на 2023-2024 год '!F148</f>
        <v>0</v>
      </c>
      <c r="G40" s="5">
        <f t="shared" si="21"/>
        <v>0</v>
      </c>
      <c r="H40" s="2">
        <f>'гос.задание на 2023-2024 год '!H148</f>
        <v>0</v>
      </c>
      <c r="I40" s="2">
        <f>'гос.задание на 2023-2024 год '!I148</f>
        <v>0</v>
      </c>
    </row>
    <row r="41" spans="1:9" ht="56.25" x14ac:dyDescent="0.25">
      <c r="A41" s="170" t="s">
        <v>346</v>
      </c>
      <c r="B41" s="171">
        <v>244</v>
      </c>
      <c r="C41" s="171">
        <v>228</v>
      </c>
      <c r="D41" s="5">
        <f>E41+F41</f>
        <v>0</v>
      </c>
      <c r="E41" s="2">
        <f>'гос.задание на 2023-2024 год '!E150</f>
        <v>0</v>
      </c>
      <c r="F41" s="2">
        <f>'гос.задание на 2023-2024 год '!F150</f>
        <v>0</v>
      </c>
      <c r="G41" s="5">
        <f t="shared" ref="G41" si="22">H41+I41</f>
        <v>0</v>
      </c>
      <c r="H41" s="2">
        <f>'гос.задание на 2023-2024 год '!H150</f>
        <v>0</v>
      </c>
      <c r="I41" s="2">
        <f>'гос.задание на 2023-2024 год '!I150</f>
        <v>0</v>
      </c>
    </row>
    <row r="42" spans="1:9" ht="18.75" x14ac:dyDescent="0.25">
      <c r="A42" s="115" t="s">
        <v>30</v>
      </c>
      <c r="B42" s="119" t="s">
        <v>5</v>
      </c>
      <c r="C42" s="119">
        <v>290</v>
      </c>
      <c r="D42" s="5">
        <f t="shared" si="2"/>
        <v>0</v>
      </c>
      <c r="E42" s="2">
        <f>E44+E45</f>
        <v>0</v>
      </c>
      <c r="F42" s="2">
        <f>F44+F45</f>
        <v>0</v>
      </c>
      <c r="G42" s="5">
        <f t="shared" si="21"/>
        <v>0</v>
      </c>
      <c r="H42" s="2">
        <f>H44+H45</f>
        <v>0</v>
      </c>
      <c r="I42" s="4">
        <f>I44+I45</f>
        <v>0</v>
      </c>
    </row>
    <row r="43" spans="1:9" ht="18.75" x14ac:dyDescent="0.25">
      <c r="A43" s="115" t="s">
        <v>9</v>
      </c>
      <c r="B43" s="119"/>
      <c r="C43" s="119"/>
      <c r="D43" s="5"/>
      <c r="E43" s="2"/>
      <c r="F43" s="2"/>
      <c r="G43" s="5"/>
      <c r="H43" s="2"/>
      <c r="I43" s="4"/>
    </row>
    <row r="44" spans="1:9" ht="56.25" x14ac:dyDescent="0.25">
      <c r="A44" s="115" t="s">
        <v>34</v>
      </c>
      <c r="B44" s="119">
        <v>244</v>
      </c>
      <c r="C44" s="119">
        <v>296</v>
      </c>
      <c r="D44" s="5">
        <f t="shared" si="2"/>
        <v>0</v>
      </c>
      <c r="E44" s="2">
        <f>'гос.задание на 2023-2024 год '!E152</f>
        <v>0</v>
      </c>
      <c r="F44" s="2">
        <f>'гос.задание на 2023-2024 год '!F152</f>
        <v>0</v>
      </c>
      <c r="G44" s="5">
        <f t="shared" si="21"/>
        <v>0</v>
      </c>
      <c r="H44" s="2">
        <f>'гос.задание на 2023-2024 год '!H152</f>
        <v>0</v>
      </c>
      <c r="I44" s="2">
        <f>'гос.задание на 2023-2024 год '!I152</f>
        <v>0</v>
      </c>
    </row>
    <row r="45" spans="1:9" ht="56.25" x14ac:dyDescent="0.25">
      <c r="A45" s="115" t="s">
        <v>35</v>
      </c>
      <c r="B45" s="119">
        <v>244</v>
      </c>
      <c r="C45" s="119">
        <v>297</v>
      </c>
      <c r="D45" s="5">
        <f t="shared" si="2"/>
        <v>0</v>
      </c>
      <c r="E45" s="2">
        <f>'гос.задание на 2023-2024 год '!E153</f>
        <v>0</v>
      </c>
      <c r="F45" s="2">
        <f>'гос.задание на 2023-2024 год '!F153</f>
        <v>0</v>
      </c>
      <c r="G45" s="5">
        <f t="shared" si="21"/>
        <v>0</v>
      </c>
      <c r="H45" s="2">
        <f>'гос.задание на 2023-2024 год '!H153</f>
        <v>0</v>
      </c>
      <c r="I45" s="2">
        <f>'гос.задание на 2023-2024 год '!I153</f>
        <v>0</v>
      </c>
    </row>
    <row r="46" spans="1:9" ht="56.25" x14ac:dyDescent="0.25">
      <c r="A46" s="115" t="s">
        <v>59</v>
      </c>
      <c r="B46" s="119" t="s">
        <v>5</v>
      </c>
      <c r="C46" s="119">
        <v>300</v>
      </c>
      <c r="D46" s="5">
        <f t="shared" si="2"/>
        <v>0</v>
      </c>
      <c r="E46" s="2">
        <f>E48+E50+E49</f>
        <v>0</v>
      </c>
      <c r="F46" s="2">
        <f>F48+F50+F49</f>
        <v>0</v>
      </c>
      <c r="G46" s="5">
        <f t="shared" si="21"/>
        <v>0</v>
      </c>
      <c r="H46" s="2">
        <f>H48+H50+H49</f>
        <v>0</v>
      </c>
      <c r="I46" s="4">
        <f>I48+I50+I49</f>
        <v>0</v>
      </c>
    </row>
    <row r="47" spans="1:9" ht="18.75" x14ac:dyDescent="0.25">
      <c r="A47" s="115" t="s">
        <v>9</v>
      </c>
      <c r="B47" s="119"/>
      <c r="C47" s="119"/>
      <c r="D47" s="5"/>
      <c r="E47" s="2"/>
      <c r="F47" s="2"/>
      <c r="G47" s="5"/>
      <c r="H47" s="2"/>
      <c r="I47" s="4"/>
    </row>
    <row r="48" spans="1:9" ht="56.25" x14ac:dyDescent="0.25">
      <c r="A48" s="115" t="s">
        <v>36</v>
      </c>
      <c r="B48" s="119">
        <v>244</v>
      </c>
      <c r="C48" s="119">
        <v>310</v>
      </c>
      <c r="D48" s="5">
        <f t="shared" si="2"/>
        <v>0</v>
      </c>
      <c r="E48" s="2">
        <f>'гос.задание на 2023-2024 год '!E156</f>
        <v>0</v>
      </c>
      <c r="F48" s="2">
        <f>'гос.задание на 2023-2024 год '!F156</f>
        <v>0</v>
      </c>
      <c r="G48" s="5">
        <f t="shared" ref="G48:G50" si="23">H48+I48</f>
        <v>0</v>
      </c>
      <c r="H48" s="2">
        <f>'гос.задание на 2023-2024 год '!H156</f>
        <v>0</v>
      </c>
      <c r="I48" s="2">
        <f>'гос.задание на 2023-2024 год '!I156</f>
        <v>0</v>
      </c>
    </row>
    <row r="49" spans="1:9" ht="75" x14ac:dyDescent="0.25">
      <c r="A49" s="115" t="s">
        <v>68</v>
      </c>
      <c r="B49" s="119">
        <v>244</v>
      </c>
      <c r="C49" s="119">
        <v>320</v>
      </c>
      <c r="D49" s="5">
        <f t="shared" si="2"/>
        <v>0</v>
      </c>
      <c r="E49" s="2">
        <f>'гос.задание на 2023-2024 год '!E157</f>
        <v>0</v>
      </c>
      <c r="F49" s="2">
        <f>'гос.задание на 2023-2024 год '!F157</f>
        <v>0</v>
      </c>
      <c r="G49" s="5">
        <f t="shared" si="23"/>
        <v>0</v>
      </c>
      <c r="H49" s="2">
        <f>'гос.задание на 2023-2024 год '!H157</f>
        <v>0</v>
      </c>
      <c r="I49" s="2">
        <f>'гос.задание на 2023-2024 год '!I157</f>
        <v>0</v>
      </c>
    </row>
    <row r="50" spans="1:9" ht="75" x14ac:dyDescent="0.25">
      <c r="A50" s="115" t="s">
        <v>60</v>
      </c>
      <c r="B50" s="119" t="s">
        <v>5</v>
      </c>
      <c r="C50" s="119">
        <v>340</v>
      </c>
      <c r="D50" s="5">
        <f t="shared" si="2"/>
        <v>0</v>
      </c>
      <c r="E50" s="2">
        <f>E52+E53+E54+E55+E56+E57+E59</f>
        <v>0</v>
      </c>
      <c r="F50" s="2">
        <f>F52+F53+F54+F55+F56+F57+F59</f>
        <v>0</v>
      </c>
      <c r="G50" s="5">
        <f t="shared" si="23"/>
        <v>0</v>
      </c>
      <c r="H50" s="2">
        <f>H52+H53+H54+H55+H56+H57+H59</f>
        <v>0</v>
      </c>
      <c r="I50" s="4">
        <f>I52+I53+I54+I55+I56+I57+I59</f>
        <v>0</v>
      </c>
    </row>
    <row r="51" spans="1:9" ht="18.75" x14ac:dyDescent="0.25">
      <c r="A51" s="115" t="s">
        <v>6</v>
      </c>
      <c r="B51" s="119"/>
      <c r="C51" s="119"/>
      <c r="D51" s="5"/>
      <c r="E51" s="2"/>
      <c r="F51" s="2"/>
      <c r="G51" s="5"/>
      <c r="H51" s="2"/>
      <c r="I51" s="4"/>
    </row>
    <row r="52" spans="1:9" ht="131.25" x14ac:dyDescent="0.25">
      <c r="A52" s="115" t="s">
        <v>37</v>
      </c>
      <c r="B52" s="119">
        <v>244</v>
      </c>
      <c r="C52" s="119">
        <v>341</v>
      </c>
      <c r="D52" s="5">
        <f t="shared" ref="D52:D59" si="24">E52+F52</f>
        <v>0</v>
      </c>
      <c r="E52" s="2">
        <f>'гос.задание на 2023-2024 год '!E160</f>
        <v>0</v>
      </c>
      <c r="F52" s="2">
        <f>'гос.задание на 2023-2024 год '!F160</f>
        <v>0</v>
      </c>
      <c r="G52" s="5">
        <f t="shared" ref="G52:G59" si="25">H52+I52</f>
        <v>0</v>
      </c>
      <c r="H52" s="2">
        <f>'гос.задание на 2023-2024 год '!H160</f>
        <v>0</v>
      </c>
      <c r="I52" s="2">
        <f>'гос.задание на 2023-2024 год '!I160</f>
        <v>0</v>
      </c>
    </row>
    <row r="53" spans="1:9" ht="56.25" x14ac:dyDescent="0.25">
      <c r="A53" s="115" t="s">
        <v>38</v>
      </c>
      <c r="B53" s="119">
        <v>244</v>
      </c>
      <c r="C53" s="119">
        <v>342</v>
      </c>
      <c r="D53" s="5">
        <f t="shared" si="24"/>
        <v>0</v>
      </c>
      <c r="E53" s="2">
        <f>'гос.задание на 2023-2024 год '!E161</f>
        <v>0</v>
      </c>
      <c r="F53" s="2">
        <f>'гос.задание на 2023-2024 год '!F161</f>
        <v>0</v>
      </c>
      <c r="G53" s="5">
        <f t="shared" si="25"/>
        <v>0</v>
      </c>
      <c r="H53" s="2">
        <f>'гос.задание на 2023-2024 год '!H161</f>
        <v>0</v>
      </c>
      <c r="I53" s="2">
        <f>'гос.задание на 2023-2024 год '!I161</f>
        <v>0</v>
      </c>
    </row>
    <row r="54" spans="1:9" ht="75" x14ac:dyDescent="0.25">
      <c r="A54" s="115" t="s">
        <v>39</v>
      </c>
      <c r="B54" s="119">
        <v>244</v>
      </c>
      <c r="C54" s="119">
        <v>343</v>
      </c>
      <c r="D54" s="5">
        <f t="shared" si="24"/>
        <v>0</v>
      </c>
      <c r="E54" s="2">
        <f>'гос.задание на 2023-2024 год '!E162</f>
        <v>0</v>
      </c>
      <c r="F54" s="2">
        <f>'гос.задание на 2023-2024 год '!F162</f>
        <v>0</v>
      </c>
      <c r="G54" s="5">
        <f t="shared" si="25"/>
        <v>0</v>
      </c>
      <c r="H54" s="2">
        <f>'гос.задание на 2023-2024 год '!H162</f>
        <v>0</v>
      </c>
      <c r="I54" s="2">
        <f>'гос.задание на 2023-2024 год '!I162</f>
        <v>0</v>
      </c>
    </row>
    <row r="55" spans="1:9" ht="75" x14ac:dyDescent="0.25">
      <c r="A55" s="115" t="s">
        <v>40</v>
      </c>
      <c r="B55" s="119">
        <v>244</v>
      </c>
      <c r="C55" s="119">
        <v>344</v>
      </c>
      <c r="D55" s="5">
        <f t="shared" si="24"/>
        <v>0</v>
      </c>
      <c r="E55" s="2">
        <f>'гос.задание на 2023-2024 год '!E163</f>
        <v>0</v>
      </c>
      <c r="F55" s="2">
        <f>'гос.задание на 2023-2024 год '!F163</f>
        <v>0</v>
      </c>
      <c r="G55" s="5">
        <f t="shared" si="25"/>
        <v>0</v>
      </c>
      <c r="H55" s="2">
        <f>'гос.задание на 2023-2024 год '!H163</f>
        <v>0</v>
      </c>
      <c r="I55" s="2">
        <f>'гос.задание на 2023-2024 год '!I163</f>
        <v>0</v>
      </c>
    </row>
    <row r="56" spans="1:9" ht="56.25" x14ac:dyDescent="0.25">
      <c r="A56" s="115" t="s">
        <v>41</v>
      </c>
      <c r="B56" s="119">
        <v>244</v>
      </c>
      <c r="C56" s="119">
        <v>345</v>
      </c>
      <c r="D56" s="5">
        <f t="shared" si="24"/>
        <v>0</v>
      </c>
      <c r="E56" s="2">
        <f>'гос.задание на 2023-2024 год '!E164</f>
        <v>0</v>
      </c>
      <c r="F56" s="2">
        <f>'гос.задание на 2023-2024 год '!F164</f>
        <v>0</v>
      </c>
      <c r="G56" s="5">
        <f t="shared" si="25"/>
        <v>0</v>
      </c>
      <c r="H56" s="2">
        <f>'гос.задание на 2023-2024 год '!H164</f>
        <v>0</v>
      </c>
      <c r="I56" s="2">
        <f>'гос.задание на 2023-2024 год '!I164</f>
        <v>0</v>
      </c>
    </row>
    <row r="57" spans="1:9" ht="75" x14ac:dyDescent="0.25">
      <c r="A57" s="115" t="s">
        <v>42</v>
      </c>
      <c r="B57" s="119">
        <v>244</v>
      </c>
      <c r="C57" s="119">
        <v>346</v>
      </c>
      <c r="D57" s="5">
        <f t="shared" si="24"/>
        <v>0</v>
      </c>
      <c r="E57" s="2">
        <f>'гос.задание на 2023-2024 год '!E165</f>
        <v>0</v>
      </c>
      <c r="F57" s="2">
        <f>'гос.задание на 2023-2024 год '!F165</f>
        <v>0</v>
      </c>
      <c r="G57" s="5">
        <f t="shared" si="25"/>
        <v>0</v>
      </c>
      <c r="H57" s="2">
        <f>'гос.задание на 2023-2024 год '!H165</f>
        <v>0</v>
      </c>
      <c r="I57" s="2">
        <f>'гос.задание на 2023-2024 год '!I165</f>
        <v>0</v>
      </c>
    </row>
    <row r="58" spans="1:9" ht="112.5" x14ac:dyDescent="0.25">
      <c r="A58" s="170" t="s">
        <v>347</v>
      </c>
      <c r="B58" s="171">
        <v>244</v>
      </c>
      <c r="C58" s="171">
        <v>347</v>
      </c>
      <c r="D58" s="5">
        <f>E58+F58</f>
        <v>0</v>
      </c>
      <c r="E58" s="2">
        <f>'гос.задание на 2023-2024 год '!E166</f>
        <v>0</v>
      </c>
      <c r="F58" s="2">
        <f>'гос.задание на 2023-2024 год '!F166</f>
        <v>0</v>
      </c>
      <c r="G58" s="5">
        <f t="shared" ref="G58" si="26">H58+I58</f>
        <v>0</v>
      </c>
      <c r="H58" s="2">
        <f>'гос.задание на 2023-2024 год '!H166</f>
        <v>0</v>
      </c>
      <c r="I58" s="2">
        <f>'гос.задание на 2023-2024 год '!I166</f>
        <v>0</v>
      </c>
    </row>
    <row r="59" spans="1:9" ht="112.5" x14ac:dyDescent="0.25">
      <c r="A59" s="115" t="s">
        <v>43</v>
      </c>
      <c r="B59" s="119">
        <v>244</v>
      </c>
      <c r="C59" s="119">
        <v>349</v>
      </c>
      <c r="D59" s="5">
        <f t="shared" si="24"/>
        <v>0</v>
      </c>
      <c r="E59" s="2">
        <f>'гос.задание на 2023-2024 год '!E167</f>
        <v>0</v>
      </c>
      <c r="F59" s="2">
        <f>'гос.задание на 2023-2024 год '!F167</f>
        <v>0</v>
      </c>
      <c r="G59" s="5">
        <f t="shared" si="25"/>
        <v>0</v>
      </c>
      <c r="H59" s="2">
        <f>'гос.задание на 2023-2024 год '!H167</f>
        <v>0</v>
      </c>
      <c r="I59" s="2">
        <f>'гос.задание на 2023-2024 год '!I167</f>
        <v>0</v>
      </c>
    </row>
    <row r="60" spans="1:9" ht="32.450000000000003" customHeight="1" x14ac:dyDescent="0.25">
      <c r="A60" s="320" t="s">
        <v>202</v>
      </c>
      <c r="B60" s="321"/>
      <c r="C60" s="321"/>
      <c r="D60" s="321"/>
      <c r="E60" s="321"/>
      <c r="F60" s="321"/>
      <c r="G60" s="321"/>
      <c r="H60" s="321"/>
      <c r="I60" s="322"/>
    </row>
    <row r="61" spans="1:9" ht="18.75" x14ac:dyDescent="0.25">
      <c r="A61" s="115" t="s">
        <v>8</v>
      </c>
      <c r="B61" s="119" t="s">
        <v>5</v>
      </c>
      <c r="C61" s="119">
        <v>200</v>
      </c>
      <c r="D61" s="5">
        <f t="shared" ref="D61" si="27">E61+F61</f>
        <v>75497833.190000013</v>
      </c>
      <c r="E61" s="2">
        <f>E63+E66+E90</f>
        <v>75497833.190000013</v>
      </c>
      <c r="F61" s="2">
        <f>F63+F66+F90</f>
        <v>0</v>
      </c>
      <c r="G61" s="5">
        <f t="shared" ref="G61" si="28">H61+I61</f>
        <v>75497833.190000013</v>
      </c>
      <c r="H61" s="2">
        <f>H63+H66+H90</f>
        <v>75497833.190000013</v>
      </c>
      <c r="I61" s="2">
        <f>I63+I66+I90</f>
        <v>0</v>
      </c>
    </row>
    <row r="62" spans="1:9" ht="18.75" x14ac:dyDescent="0.25">
      <c r="A62" s="115" t="s">
        <v>9</v>
      </c>
      <c r="B62" s="119"/>
      <c r="C62" s="119"/>
      <c r="D62" s="5"/>
      <c r="E62" s="2"/>
      <c r="F62" s="2"/>
      <c r="G62" s="5"/>
      <c r="H62" s="2"/>
      <c r="I62" s="2"/>
    </row>
    <row r="63" spans="1:9" ht="75" x14ac:dyDescent="0.25">
      <c r="A63" s="115" t="s">
        <v>10</v>
      </c>
      <c r="B63" s="119" t="s">
        <v>5</v>
      </c>
      <c r="C63" s="119">
        <v>210</v>
      </c>
      <c r="D63" s="5">
        <f t="shared" ref="D63" si="29">E63+F63</f>
        <v>0</v>
      </c>
      <c r="E63" s="2">
        <f>E65</f>
        <v>0</v>
      </c>
      <c r="F63" s="2">
        <f>F65</f>
        <v>0</v>
      </c>
      <c r="G63" s="5">
        <f t="shared" ref="G63" si="30">H63+I63</f>
        <v>0</v>
      </c>
      <c r="H63" s="2">
        <f>H65</f>
        <v>0</v>
      </c>
      <c r="I63" s="2">
        <f>I65</f>
        <v>0</v>
      </c>
    </row>
    <row r="64" spans="1:9" ht="18.75" x14ac:dyDescent="0.25">
      <c r="A64" s="115" t="s">
        <v>9</v>
      </c>
      <c r="B64" s="119"/>
      <c r="C64" s="119"/>
      <c r="D64" s="5"/>
      <c r="E64" s="2"/>
      <c r="F64" s="2"/>
      <c r="G64" s="5"/>
      <c r="H64" s="2"/>
      <c r="I64" s="2"/>
    </row>
    <row r="65" spans="1:9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'гос.задание на 2023-2024 год '!E173</f>
        <v>0</v>
      </c>
      <c r="F65" s="2">
        <f>'гос.задание на 2023-2024 год '!F173</f>
        <v>0</v>
      </c>
      <c r="G65" s="5">
        <f>H65+I65</f>
        <v>0</v>
      </c>
      <c r="H65" s="2">
        <f>'гос.задание на 2023-2024 год '!H173</f>
        <v>0</v>
      </c>
      <c r="I65" s="2">
        <f>'гос.задание на 2023-2024 год '!I173</f>
        <v>0</v>
      </c>
    </row>
    <row r="66" spans="1:9" ht="37.5" x14ac:dyDescent="0.25">
      <c r="A66" s="115" t="s">
        <v>14</v>
      </c>
      <c r="B66" s="119" t="s">
        <v>5</v>
      </c>
      <c r="C66" s="119">
        <v>220</v>
      </c>
      <c r="D66" s="5">
        <f t="shared" ref="D66" si="31">E66+F66</f>
        <v>75497833.190000013</v>
      </c>
      <c r="E66" s="2">
        <f>E68+E69+E70+E81+E82+E85+E88+E89</f>
        <v>75497833.190000013</v>
      </c>
      <c r="F66" s="2">
        <f>F68+F69+F70+F81+F82+F85+F88+F89</f>
        <v>0</v>
      </c>
      <c r="G66" s="5">
        <f t="shared" ref="G66" si="32">H66+I66</f>
        <v>75497833.190000013</v>
      </c>
      <c r="H66" s="2">
        <f>H68+H69+H70+H81+H82+H85+H88+H89</f>
        <v>75497833.190000013</v>
      </c>
      <c r="I66" s="2">
        <f>I68+I69+I70+I81+I82+I85+I88+I89</f>
        <v>0</v>
      </c>
    </row>
    <row r="67" spans="1:9" ht="18.75" x14ac:dyDescent="0.25">
      <c r="A67" s="115" t="s">
        <v>9</v>
      </c>
      <c r="B67" s="119"/>
      <c r="C67" s="119"/>
      <c r="D67" s="5"/>
      <c r="E67" s="2"/>
      <c r="F67" s="2"/>
      <c r="G67" s="5"/>
      <c r="H67" s="2"/>
      <c r="I67" s="2"/>
    </row>
    <row r="68" spans="1:9" ht="18.75" x14ac:dyDescent="0.25">
      <c r="A68" s="115" t="s">
        <v>15</v>
      </c>
      <c r="B68" s="119">
        <v>244</v>
      </c>
      <c r="C68" s="119">
        <v>221</v>
      </c>
      <c r="D68" s="5">
        <f t="shared" ref="D68:D70" si="33">E68+F68</f>
        <v>2377640</v>
      </c>
      <c r="E68" s="2">
        <f>'гос.задание на 2023-2024 год '!E176</f>
        <v>2377640</v>
      </c>
      <c r="F68" s="2">
        <f>'гос.задание на 2023-2024 год '!F176</f>
        <v>0</v>
      </c>
      <c r="G68" s="5">
        <f t="shared" ref="G68:G70" si="34">H68+I68</f>
        <v>2377640</v>
      </c>
      <c r="H68" s="2">
        <f>'гос.задание на 2023-2024 год '!H176</f>
        <v>2377640</v>
      </c>
      <c r="I68" s="2">
        <f>'гос.задание на 2023-2024 год '!I176</f>
        <v>0</v>
      </c>
    </row>
    <row r="69" spans="1:9" ht="37.5" x14ac:dyDescent="0.25">
      <c r="A69" s="115" t="s">
        <v>16</v>
      </c>
      <c r="B69" s="119">
        <v>244</v>
      </c>
      <c r="C69" s="119">
        <v>222</v>
      </c>
      <c r="D69" s="5">
        <f t="shared" si="33"/>
        <v>0</v>
      </c>
      <c r="E69" s="2">
        <f>'гос.задание на 2023-2024 год '!E177</f>
        <v>0</v>
      </c>
      <c r="F69" s="2">
        <f>'гос.задание на 2023-2024 год '!F177</f>
        <v>0</v>
      </c>
      <c r="G69" s="5">
        <f t="shared" si="34"/>
        <v>0</v>
      </c>
      <c r="H69" s="2">
        <f>'гос.задание на 2023-2024 год '!H177</f>
        <v>0</v>
      </c>
      <c r="I69" s="2">
        <f>'гос.задание на 2023-2024 год '!I177</f>
        <v>0</v>
      </c>
    </row>
    <row r="70" spans="1:9" ht="37.5" x14ac:dyDescent="0.25">
      <c r="A70" s="115" t="s">
        <v>17</v>
      </c>
      <c r="B70" s="119" t="s">
        <v>5</v>
      </c>
      <c r="C70" s="119">
        <v>223</v>
      </c>
      <c r="D70" s="5">
        <f t="shared" si="33"/>
        <v>36113963.160000004</v>
      </c>
      <c r="E70" s="2">
        <f t="shared" ref="E70:F70" si="35">E73+E75+E77+E78+E79</f>
        <v>36113963.160000004</v>
      </c>
      <c r="F70" s="2">
        <f t="shared" si="35"/>
        <v>0</v>
      </c>
      <c r="G70" s="5">
        <f t="shared" si="34"/>
        <v>36113963.160000004</v>
      </c>
      <c r="H70" s="2">
        <f t="shared" ref="H70:I70" si="36">H73+H75+H77+H78+H79</f>
        <v>36113963.160000004</v>
      </c>
      <c r="I70" s="2">
        <f t="shared" si="36"/>
        <v>0</v>
      </c>
    </row>
    <row r="71" spans="1:9" ht="18.75" x14ac:dyDescent="0.25">
      <c r="A71" s="115" t="s">
        <v>6</v>
      </c>
      <c r="B71" s="119"/>
      <c r="C71" s="119"/>
      <c r="D71" s="5"/>
      <c r="E71" s="2"/>
      <c r="F71" s="2"/>
      <c r="G71" s="5"/>
      <c r="H71" s="2"/>
      <c r="I71" s="2"/>
    </row>
    <row r="72" spans="1:9" ht="56.25" x14ac:dyDescent="0.25">
      <c r="A72" s="190" t="s">
        <v>18</v>
      </c>
      <c r="B72" s="191">
        <v>244</v>
      </c>
      <c r="C72" s="191">
        <v>223</v>
      </c>
      <c r="D72" s="5">
        <f t="shared" ref="D72" si="37">E72+F72</f>
        <v>0</v>
      </c>
      <c r="E72" s="2">
        <f>'гос.задание на 2023-2024 год '!E179</f>
        <v>0</v>
      </c>
      <c r="F72" s="2">
        <f>'гос.задание на 2023-2024 год '!F179</f>
        <v>0</v>
      </c>
      <c r="G72" s="5">
        <f t="shared" ref="G72" si="38">H72+I72</f>
        <v>0</v>
      </c>
      <c r="H72" s="2">
        <f>'гос.задание на 2023-2024 год '!H179</f>
        <v>0</v>
      </c>
      <c r="I72" s="2">
        <f>'гос.задание на 2023-2024 год '!I179</f>
        <v>0</v>
      </c>
    </row>
    <row r="73" spans="1:9" ht="56.25" x14ac:dyDescent="0.25">
      <c r="A73" s="115" t="s">
        <v>18</v>
      </c>
      <c r="B73" s="119">
        <v>247</v>
      </c>
      <c r="C73" s="119">
        <v>223</v>
      </c>
      <c r="D73" s="5">
        <f t="shared" ref="D73:D81" si="39">E73+F73</f>
        <v>0</v>
      </c>
      <c r="E73" s="2">
        <f>'гос.задание на 2023-2024 год '!E180</f>
        <v>0</v>
      </c>
      <c r="F73" s="2">
        <f>'гос.задание на 2023-2024 год '!F180</f>
        <v>0</v>
      </c>
      <c r="G73" s="5">
        <f t="shared" ref="G73:G81" si="40">H73+I73</f>
        <v>0</v>
      </c>
      <c r="H73" s="2">
        <f>'гос.задание на 2023-2024 год '!H180</f>
        <v>0</v>
      </c>
      <c r="I73" s="2">
        <f>'гос.задание на 2023-2024 год '!I180</f>
        <v>0</v>
      </c>
    </row>
    <row r="74" spans="1:9" ht="37.5" x14ac:dyDescent="0.25">
      <c r="A74" s="190" t="s">
        <v>19</v>
      </c>
      <c r="B74" s="191">
        <v>244</v>
      </c>
      <c r="C74" s="191">
        <v>223</v>
      </c>
      <c r="D74" s="5">
        <f t="shared" ref="D74" si="41">E74+F74</f>
        <v>0</v>
      </c>
      <c r="E74" s="2">
        <f>'гос.задание на 2023-2024 год '!E180</f>
        <v>0</v>
      </c>
      <c r="F74" s="2">
        <f>'гос.задание на 2023-2024 год '!F180</f>
        <v>0</v>
      </c>
      <c r="G74" s="5">
        <f t="shared" ref="G74" si="42">H74+I74</f>
        <v>0</v>
      </c>
      <c r="H74" s="2">
        <f>'гос.задание на 2023-2024 год '!H180</f>
        <v>0</v>
      </c>
      <c r="I74" s="2">
        <f>'гос.задание на 2023-2024 год '!I180</f>
        <v>0</v>
      </c>
    </row>
    <row r="75" spans="1:9" ht="37.5" x14ac:dyDescent="0.25">
      <c r="A75" s="115" t="s">
        <v>19</v>
      </c>
      <c r="B75" s="119">
        <v>247</v>
      </c>
      <c r="C75" s="119">
        <v>223</v>
      </c>
      <c r="D75" s="5">
        <f t="shared" si="39"/>
        <v>3626465.69</v>
      </c>
      <c r="E75" s="2">
        <f>'гос.задание на 2023-2024 год '!E181</f>
        <v>3626465.69</v>
      </c>
      <c r="F75" s="2">
        <f>'гос.задание на 2023-2024 год '!F181</f>
        <v>0</v>
      </c>
      <c r="G75" s="5">
        <f t="shared" si="40"/>
        <v>3626465.69</v>
      </c>
      <c r="H75" s="2">
        <f>'гос.задание на 2023-2024 год '!H181</f>
        <v>3626465.69</v>
      </c>
      <c r="I75" s="2">
        <f>'гос.задание на 2023-2024 год '!I181</f>
        <v>0</v>
      </c>
    </row>
    <row r="76" spans="1:9" ht="75" x14ac:dyDescent="0.25">
      <c r="A76" s="190" t="s">
        <v>20</v>
      </c>
      <c r="B76" s="191">
        <v>244</v>
      </c>
      <c r="C76" s="191">
        <v>223</v>
      </c>
      <c r="D76" s="5">
        <f t="shared" ref="D76" si="43">E76+F76</f>
        <v>0</v>
      </c>
      <c r="E76" s="2">
        <v>0</v>
      </c>
      <c r="F76" s="2">
        <f>'гос.задание на 2023-2024 год '!F181</f>
        <v>0</v>
      </c>
      <c r="G76" s="5">
        <f t="shared" ref="G76" si="44">H76+I76</f>
        <v>0</v>
      </c>
      <c r="H76" s="2">
        <v>0</v>
      </c>
      <c r="I76" s="2">
        <f>'гос.задание на 2023-2024 год '!I181</f>
        <v>0</v>
      </c>
    </row>
    <row r="77" spans="1:9" ht="75" x14ac:dyDescent="0.25">
      <c r="A77" s="115" t="s">
        <v>20</v>
      </c>
      <c r="B77" s="119">
        <v>247</v>
      </c>
      <c r="C77" s="119">
        <v>223</v>
      </c>
      <c r="D77" s="5">
        <f t="shared" si="39"/>
        <v>25316126.350000001</v>
      </c>
      <c r="E77" s="2">
        <f>'гос.задание на 2023-2024 год '!E182</f>
        <v>25316126.350000001</v>
      </c>
      <c r="F77" s="2">
        <f>'гос.задание на 2023-2024 год '!F182</f>
        <v>0</v>
      </c>
      <c r="G77" s="5">
        <f t="shared" si="40"/>
        <v>25316126.350000001</v>
      </c>
      <c r="H77" s="2">
        <f>'гос.задание на 2023-2024 год '!H182</f>
        <v>25316126.350000001</v>
      </c>
      <c r="I77" s="2">
        <f>'гос.задание на 2023-2024 год '!I182</f>
        <v>0</v>
      </c>
    </row>
    <row r="78" spans="1:9" ht="75" x14ac:dyDescent="0.25">
      <c r="A78" s="115" t="s">
        <v>21</v>
      </c>
      <c r="B78" s="119">
        <v>244</v>
      </c>
      <c r="C78" s="119">
        <v>223</v>
      </c>
      <c r="D78" s="5">
        <f t="shared" si="39"/>
        <v>6574816.25</v>
      </c>
      <c r="E78" s="2">
        <f>'гос.задание на 2023-2024 год '!E183</f>
        <v>6574816.25</v>
      </c>
      <c r="F78" s="2">
        <f>'гос.задание на 2023-2024 год '!F183</f>
        <v>0</v>
      </c>
      <c r="G78" s="5">
        <f t="shared" si="40"/>
        <v>6574816.25</v>
      </c>
      <c r="H78" s="2">
        <f>'гос.задание на 2023-2024 год '!H183</f>
        <v>6574816.25</v>
      </c>
      <c r="I78" s="2">
        <f>'гос.задание на 2023-2024 год '!I183</f>
        <v>0</v>
      </c>
    </row>
    <row r="79" spans="1:9" ht="56.25" x14ac:dyDescent="0.25">
      <c r="A79" s="115" t="s">
        <v>22</v>
      </c>
      <c r="B79" s="119">
        <v>244</v>
      </c>
      <c r="C79" s="119">
        <v>223</v>
      </c>
      <c r="D79" s="5">
        <f t="shared" si="39"/>
        <v>596554.87</v>
      </c>
      <c r="E79" s="2">
        <f>'гос.задание на 2023-2024 год '!E184</f>
        <v>596554.87</v>
      </c>
      <c r="F79" s="2">
        <f>'гос.задание на 2023-2024 год '!F184</f>
        <v>0</v>
      </c>
      <c r="G79" s="5">
        <f t="shared" si="40"/>
        <v>596554.87</v>
      </c>
      <c r="H79" s="2">
        <f>'гос.задание на 2023-2024 год '!H184</f>
        <v>596554.87</v>
      </c>
      <c r="I79" s="2">
        <f>'гос.задание на 2023-2024 год '!I184</f>
        <v>0</v>
      </c>
    </row>
    <row r="80" spans="1:9" ht="56.25" x14ac:dyDescent="0.25">
      <c r="A80" s="195" t="s">
        <v>446</v>
      </c>
      <c r="B80" s="196">
        <v>244</v>
      </c>
      <c r="C80" s="196">
        <v>223</v>
      </c>
      <c r="D80" s="5">
        <f t="shared" ref="D80" si="45">E80+F80</f>
        <v>0</v>
      </c>
      <c r="E80" s="2">
        <f>'гос.задание на 2023-2024 год '!E185</f>
        <v>0</v>
      </c>
      <c r="F80" s="2">
        <f>'гос.задание на 2023-2024 год '!F185</f>
        <v>0</v>
      </c>
      <c r="G80" s="5">
        <f t="shared" ref="G80" si="46">H80+I80</f>
        <v>0</v>
      </c>
      <c r="H80" s="2">
        <f>'гос.задание на 2023-2024 год '!H185</f>
        <v>0</v>
      </c>
      <c r="I80" s="2">
        <f>'гос.задание на 2023-2024 год '!I185</f>
        <v>0</v>
      </c>
    </row>
    <row r="81" spans="1:9" ht="168.75" x14ac:dyDescent="0.25">
      <c r="A81" s="115" t="s">
        <v>23</v>
      </c>
      <c r="B81" s="119">
        <v>244</v>
      </c>
      <c r="C81" s="119">
        <v>224</v>
      </c>
      <c r="D81" s="5">
        <f t="shared" si="39"/>
        <v>0</v>
      </c>
      <c r="E81" s="2">
        <f>'гос.задание на 2023-2024 год '!E186</f>
        <v>0</v>
      </c>
      <c r="F81" s="2">
        <f>'гос.задание на 2023-2024 год '!F186</f>
        <v>0</v>
      </c>
      <c r="G81" s="5">
        <f t="shared" si="40"/>
        <v>0</v>
      </c>
      <c r="H81" s="2">
        <f>'гос.задание на 2023-2024 год '!H186</f>
        <v>0</v>
      </c>
      <c r="I81" s="2">
        <f>'гос.задание на 2023-2024 год '!I186</f>
        <v>0</v>
      </c>
    </row>
    <row r="82" spans="1:9" ht="56.25" x14ac:dyDescent="0.25">
      <c r="A82" s="115" t="s">
        <v>24</v>
      </c>
      <c r="B82" s="119" t="s">
        <v>5</v>
      </c>
      <c r="C82" s="119">
        <v>225</v>
      </c>
      <c r="D82" s="2">
        <f t="shared" ref="D82" si="47">D83+D84</f>
        <v>27992701.129999999</v>
      </c>
      <c r="E82" s="2">
        <f>E83+E84</f>
        <v>27992701.129999999</v>
      </c>
      <c r="F82" s="2">
        <f t="shared" ref="F82:G82" si="48">F83+F84</f>
        <v>0</v>
      </c>
      <c r="G82" s="2">
        <f t="shared" si="48"/>
        <v>27992701.129999999</v>
      </c>
      <c r="H82" s="2">
        <f>H83+H84</f>
        <v>27992701.129999999</v>
      </c>
      <c r="I82" s="2">
        <f t="shared" ref="I82" si="49">I83+I84</f>
        <v>0</v>
      </c>
    </row>
    <row r="83" spans="1:9" ht="18.75" x14ac:dyDescent="0.25">
      <c r="A83" s="216" t="s">
        <v>6</v>
      </c>
      <c r="B83" s="119">
        <v>243</v>
      </c>
      <c r="C83" s="119">
        <v>225</v>
      </c>
      <c r="D83" s="5">
        <f t="shared" ref="D83:D94" si="50">E83+F83</f>
        <v>0</v>
      </c>
      <c r="E83" s="2">
        <f>'гос.задание на 2023-2024 год '!E188</f>
        <v>0</v>
      </c>
      <c r="F83" s="2">
        <f>'гос.задание на 2023-2024 год '!F188</f>
        <v>0</v>
      </c>
      <c r="G83" s="5">
        <f t="shared" ref="G83:G94" si="51">H83+I83</f>
        <v>0</v>
      </c>
      <c r="H83" s="2">
        <f>'гос.задание на 2023-2024 год '!H188</f>
        <v>0</v>
      </c>
      <c r="I83" s="2">
        <f>'гос.задание на 2023-2024 год '!I188</f>
        <v>0</v>
      </c>
    </row>
    <row r="84" spans="1:9" ht="18.75" x14ac:dyDescent="0.25">
      <c r="A84" s="216"/>
      <c r="B84" s="119">
        <v>244</v>
      </c>
      <c r="C84" s="119">
        <v>225</v>
      </c>
      <c r="D84" s="5">
        <f t="shared" si="50"/>
        <v>27992701.129999999</v>
      </c>
      <c r="E84" s="2">
        <f>'гос.задание на 2023-2024 год '!E189</f>
        <v>27992701.129999999</v>
      </c>
      <c r="F84" s="2">
        <f>'гос.задание на 2023-2024 год '!F189</f>
        <v>0</v>
      </c>
      <c r="G84" s="5">
        <f t="shared" si="51"/>
        <v>27992701.129999999</v>
      </c>
      <c r="H84" s="2">
        <f>'гос.задание на 2023-2024 год '!H189</f>
        <v>27992701.129999999</v>
      </c>
      <c r="I84" s="2">
        <f>'гос.задание на 2023-2024 год '!I189</f>
        <v>0</v>
      </c>
    </row>
    <row r="85" spans="1:9" ht="37.5" x14ac:dyDescent="0.25">
      <c r="A85" s="115" t="s">
        <v>58</v>
      </c>
      <c r="B85" s="119" t="s">
        <v>5</v>
      </c>
      <c r="C85" s="119">
        <v>226</v>
      </c>
      <c r="D85" s="5">
        <f t="shared" si="50"/>
        <v>9008461.2799999993</v>
      </c>
      <c r="E85" s="2">
        <f>E86+E87</f>
        <v>9008461.2799999993</v>
      </c>
      <c r="F85" s="2">
        <f>F86+F87</f>
        <v>0</v>
      </c>
      <c r="G85" s="5">
        <f t="shared" si="51"/>
        <v>9008461.2799999993</v>
      </c>
      <c r="H85" s="2">
        <f>H86+H87</f>
        <v>9008461.2799999993</v>
      </c>
      <c r="I85" s="2">
        <f>I86+I87</f>
        <v>0</v>
      </c>
    </row>
    <row r="86" spans="1:9" ht="18.75" x14ac:dyDescent="0.25">
      <c r="A86" s="216" t="s">
        <v>6</v>
      </c>
      <c r="B86" s="119">
        <v>243</v>
      </c>
      <c r="C86" s="119">
        <v>226</v>
      </c>
      <c r="D86" s="5">
        <f t="shared" si="50"/>
        <v>0</v>
      </c>
      <c r="E86" s="2">
        <f>'гос.задание на 2023-2024 год '!E191</f>
        <v>0</v>
      </c>
      <c r="F86" s="2">
        <f>'гос.задание на 2023-2024 год '!F191</f>
        <v>0</v>
      </c>
      <c r="G86" s="5">
        <f t="shared" si="51"/>
        <v>0</v>
      </c>
      <c r="H86" s="2">
        <f>'гос.задание на 2023-2024 год '!H191</f>
        <v>0</v>
      </c>
      <c r="I86" s="2">
        <f>'гос.задание на 2023-2024 год '!I191</f>
        <v>0</v>
      </c>
    </row>
    <row r="87" spans="1:9" ht="18.75" x14ac:dyDescent="0.25">
      <c r="A87" s="216"/>
      <c r="B87" s="119">
        <v>244</v>
      </c>
      <c r="C87" s="119">
        <v>226</v>
      </c>
      <c r="D87" s="5">
        <f t="shared" si="50"/>
        <v>9008461.2799999993</v>
      </c>
      <c r="E87" s="2">
        <f>'гос.задание на 2023-2024 год '!E192</f>
        <v>9008461.2799999993</v>
      </c>
      <c r="F87" s="2">
        <f>'гос.задание на 2023-2024 год '!F192</f>
        <v>0</v>
      </c>
      <c r="G87" s="5">
        <f t="shared" si="51"/>
        <v>9008461.2799999993</v>
      </c>
      <c r="H87" s="2">
        <f>'гос.задание на 2023-2024 год '!H192</f>
        <v>9008461.2799999993</v>
      </c>
      <c r="I87" s="2">
        <f>'гос.задание на 2023-2024 год '!I192</f>
        <v>0</v>
      </c>
    </row>
    <row r="88" spans="1:9" ht="18.75" x14ac:dyDescent="0.25">
      <c r="A88" s="115" t="s">
        <v>25</v>
      </c>
      <c r="B88" s="119">
        <v>244</v>
      </c>
      <c r="C88" s="119">
        <v>227</v>
      </c>
      <c r="D88" s="5">
        <f t="shared" si="50"/>
        <v>5067.62</v>
      </c>
      <c r="E88" s="2">
        <f>'гос.задание на 2023-2024 год '!E193</f>
        <v>5067.62</v>
      </c>
      <c r="F88" s="2">
        <f>'гос.задание на 2023-2024 год '!F193</f>
        <v>0</v>
      </c>
      <c r="G88" s="5">
        <f t="shared" si="51"/>
        <v>5067.62</v>
      </c>
      <c r="H88" s="2">
        <f>'гос.задание на 2023-2024 год '!H193</f>
        <v>5067.62</v>
      </c>
      <c r="I88" s="2">
        <f>'гос.задание на 2023-2024 год '!I193</f>
        <v>0</v>
      </c>
    </row>
    <row r="89" spans="1:9" ht="56.25" x14ac:dyDescent="0.25">
      <c r="A89" s="170" t="s">
        <v>346</v>
      </c>
      <c r="B89" s="171">
        <v>244</v>
      </c>
      <c r="C89" s="171">
        <v>228</v>
      </c>
      <c r="D89" s="5">
        <f>E89+F89</f>
        <v>0</v>
      </c>
      <c r="E89" s="2">
        <f>'гос.задание на 2023-2024 год '!E194</f>
        <v>0</v>
      </c>
      <c r="F89" s="2">
        <f>'гос.задание на 2023-2024 год '!F194</f>
        <v>0</v>
      </c>
      <c r="G89" s="5">
        <f t="shared" ref="G89" si="52">H89+I89</f>
        <v>0</v>
      </c>
      <c r="H89" s="2">
        <f>'гос.задание на 2023-2024 год '!H194</f>
        <v>0</v>
      </c>
      <c r="I89" s="2">
        <f>'гос.задание на 2023-2024 год '!I194</f>
        <v>0</v>
      </c>
    </row>
    <row r="90" spans="1:9" ht="18.75" x14ac:dyDescent="0.25">
      <c r="A90" s="115" t="s">
        <v>30</v>
      </c>
      <c r="B90" s="119" t="s">
        <v>5</v>
      </c>
      <c r="C90" s="119">
        <v>290</v>
      </c>
      <c r="D90" s="5">
        <f t="shared" si="50"/>
        <v>0</v>
      </c>
      <c r="E90" s="2">
        <f>E92+E93</f>
        <v>0</v>
      </c>
      <c r="F90" s="2">
        <f>F92+F93</f>
        <v>0</v>
      </c>
      <c r="G90" s="5">
        <f t="shared" si="51"/>
        <v>0</v>
      </c>
      <c r="H90" s="2">
        <f>H92+H93</f>
        <v>0</v>
      </c>
      <c r="I90" s="2">
        <f>I92+I93</f>
        <v>0</v>
      </c>
    </row>
    <row r="91" spans="1:9" ht="18.75" x14ac:dyDescent="0.25">
      <c r="A91" s="115" t="s">
        <v>9</v>
      </c>
      <c r="B91" s="119"/>
      <c r="C91" s="119"/>
      <c r="D91" s="5">
        <f t="shared" si="50"/>
        <v>0</v>
      </c>
      <c r="E91" s="2"/>
      <c r="F91" s="2"/>
      <c r="G91" s="5">
        <f t="shared" si="51"/>
        <v>0</v>
      </c>
      <c r="H91" s="2"/>
      <c r="I91" s="2"/>
    </row>
    <row r="92" spans="1:9" ht="56.25" x14ac:dyDescent="0.25">
      <c r="A92" s="115" t="s">
        <v>34</v>
      </c>
      <c r="B92" s="119">
        <v>244</v>
      </c>
      <c r="C92" s="119">
        <v>296</v>
      </c>
      <c r="D92" s="5">
        <f t="shared" si="50"/>
        <v>0</v>
      </c>
      <c r="E92" s="2">
        <f>'гос.задание на 2023-2024 год '!E197</f>
        <v>0</v>
      </c>
      <c r="F92" s="2">
        <f>'гос.задание на 2023-2024 год '!F197</f>
        <v>0</v>
      </c>
      <c r="G92" s="5">
        <f t="shared" si="51"/>
        <v>0</v>
      </c>
      <c r="H92" s="2">
        <f>'гос.задание на 2023-2024 год '!H197</f>
        <v>0</v>
      </c>
      <c r="I92" s="2">
        <f>'гос.задание на 2023-2024 год '!I197</f>
        <v>0</v>
      </c>
    </row>
    <row r="93" spans="1:9" ht="56.25" x14ac:dyDescent="0.25">
      <c r="A93" s="115" t="s">
        <v>35</v>
      </c>
      <c r="B93" s="119">
        <v>244</v>
      </c>
      <c r="C93" s="119">
        <v>297</v>
      </c>
      <c r="D93" s="5">
        <f t="shared" si="50"/>
        <v>0</v>
      </c>
      <c r="E93" s="2">
        <f>'гос.задание на 2023-2024 год '!E198</f>
        <v>0</v>
      </c>
      <c r="F93" s="2">
        <f>'гос.задание на 2023-2024 год '!F198</f>
        <v>0</v>
      </c>
      <c r="G93" s="5">
        <f t="shared" si="51"/>
        <v>0</v>
      </c>
      <c r="H93" s="2">
        <f>'гос.задание на 2023-2024 год '!H198</f>
        <v>0</v>
      </c>
      <c r="I93" s="2">
        <f>'гос.задание на 2023-2024 год '!I198</f>
        <v>0</v>
      </c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50"/>
        <v>9401903.6199999992</v>
      </c>
      <c r="E94" s="2">
        <f>E96+E98+E97</f>
        <v>9401903.6199999992</v>
      </c>
      <c r="F94" s="2">
        <f>F96+F98+F97</f>
        <v>0</v>
      </c>
      <c r="G94" s="5">
        <f t="shared" si="51"/>
        <v>9401903.6199999992</v>
      </c>
      <c r="H94" s="2">
        <f>H96+H98+H97</f>
        <v>9401903.6199999992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ref="D96:D98" si="53">E96+F96</f>
        <v>0</v>
      </c>
      <c r="E96" s="2">
        <f>'гос.задание на 2023-2024 год '!E201</f>
        <v>0</v>
      </c>
      <c r="F96" s="2">
        <f>'гос.задание на 2023-2024 год '!F201</f>
        <v>0</v>
      </c>
      <c r="G96" s="5">
        <f t="shared" ref="G96:G98" si="54">H96+I96</f>
        <v>0</v>
      </c>
      <c r="H96" s="2">
        <f>'гос.задание на 2023-2024 год '!H201</f>
        <v>0</v>
      </c>
      <c r="I96" s="2">
        <f>'гос.задание на 2023-2024 год '!I201</f>
        <v>0</v>
      </c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53"/>
        <v>0</v>
      </c>
      <c r="E97" s="2">
        <f>'гос.задание на 2023-2024 год '!E202</f>
        <v>0</v>
      </c>
      <c r="F97" s="2">
        <f>'гос.задание на 2023-2024 год '!F202</f>
        <v>0</v>
      </c>
      <c r="G97" s="5">
        <f t="shared" si="54"/>
        <v>0</v>
      </c>
      <c r="H97" s="2">
        <f>'гос.задание на 2023-2024 год '!H202</f>
        <v>0</v>
      </c>
      <c r="I97" s="2">
        <f>'гос.задание на 2023-2024 год '!I202</f>
        <v>0</v>
      </c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53"/>
        <v>9401903.6199999992</v>
      </c>
      <c r="E98" s="2">
        <f>E100+E101+E102+E103+E104+E105+E107</f>
        <v>9401903.6199999992</v>
      </c>
      <c r="F98" s="2">
        <f>F100+F101+F102+F103+F104+F105+F107</f>
        <v>0</v>
      </c>
      <c r="G98" s="5">
        <f t="shared" si="54"/>
        <v>9401903.6199999992</v>
      </c>
      <c r="H98" s="2">
        <f>H100+H101+H102+H103+H104+H105+H107</f>
        <v>9401903.6199999992</v>
      </c>
      <c r="I98" s="2">
        <f>I100+I101+I102+I103+I104+I105+I107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54.9" customHeight="1" x14ac:dyDescent="0.25">
      <c r="A100" s="115" t="s">
        <v>37</v>
      </c>
      <c r="B100" s="119">
        <v>244</v>
      </c>
      <c r="C100" s="119">
        <v>341</v>
      </c>
      <c r="D100" s="5">
        <f t="shared" ref="D100:D107" si="55">E100+F100</f>
        <v>0</v>
      </c>
      <c r="E100" s="2">
        <f>'гос.задание на 2023-2024 год '!E205</f>
        <v>0</v>
      </c>
      <c r="F100" s="2">
        <f>'гос.задание на 2023-2024 год '!F205</f>
        <v>0</v>
      </c>
      <c r="G100" s="5">
        <f t="shared" ref="G100:G107" si="56">H100+I100</f>
        <v>0</v>
      </c>
      <c r="H100" s="2">
        <f>'гос.задание на 2023-2024 год '!H205</f>
        <v>0</v>
      </c>
      <c r="I100" s="2">
        <f>'гос.задание на 2023-2024 год '!I205</f>
        <v>0</v>
      </c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55"/>
        <v>0</v>
      </c>
      <c r="E101" s="2">
        <f>'гос.задание на 2023-2024 год '!E206</f>
        <v>0</v>
      </c>
      <c r="F101" s="2">
        <f>'гос.задание на 2023-2024 год '!F206</f>
        <v>0</v>
      </c>
      <c r="G101" s="5">
        <f t="shared" si="56"/>
        <v>0</v>
      </c>
      <c r="H101" s="2">
        <f>'гос.задание на 2023-2024 год '!H206</f>
        <v>0</v>
      </c>
      <c r="I101" s="2">
        <f>'гос.задание на 2023-2024 год '!I206</f>
        <v>0</v>
      </c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55"/>
        <v>290000</v>
      </c>
      <c r="E102" s="2">
        <f>'гос.задание на 2023-2024 год '!E207</f>
        <v>290000</v>
      </c>
      <c r="F102" s="2">
        <f>'гос.задание на 2023-2024 год '!F207</f>
        <v>0</v>
      </c>
      <c r="G102" s="5">
        <f t="shared" si="56"/>
        <v>290000</v>
      </c>
      <c r="H102" s="2">
        <f>'гос.задание на 2023-2024 год '!H207</f>
        <v>290000</v>
      </c>
      <c r="I102" s="2">
        <f>'гос.задание на 2023-2024 год '!I207</f>
        <v>0</v>
      </c>
    </row>
    <row r="103" spans="1:9" ht="90.6" customHeight="1" x14ac:dyDescent="0.25">
      <c r="A103" s="115" t="s">
        <v>40</v>
      </c>
      <c r="B103" s="119">
        <v>244</v>
      </c>
      <c r="C103" s="119">
        <v>344</v>
      </c>
      <c r="D103" s="5">
        <f t="shared" si="55"/>
        <v>200000</v>
      </c>
      <c r="E103" s="2">
        <f>'гос.задание на 2023-2024 год '!E208</f>
        <v>200000</v>
      </c>
      <c r="F103" s="2">
        <f>'гос.задание на 2023-2024 год '!F208</f>
        <v>0</v>
      </c>
      <c r="G103" s="5">
        <f t="shared" si="56"/>
        <v>200000</v>
      </c>
      <c r="H103" s="2">
        <f>'гос.задание на 2023-2024 год '!H208</f>
        <v>200000</v>
      </c>
      <c r="I103" s="2">
        <f>'гос.задание на 2023-2024 год '!I208</f>
        <v>0</v>
      </c>
    </row>
    <row r="104" spans="1:9" ht="71.45" customHeight="1" x14ac:dyDescent="0.25">
      <c r="A104" s="115" t="s">
        <v>41</v>
      </c>
      <c r="B104" s="119">
        <v>244</v>
      </c>
      <c r="C104" s="119">
        <v>345</v>
      </c>
      <c r="D104" s="5">
        <f t="shared" si="55"/>
        <v>334245</v>
      </c>
      <c r="E104" s="2">
        <f>'гос.задание на 2023-2024 год '!E209</f>
        <v>334245</v>
      </c>
      <c r="F104" s="2">
        <f>'гос.задание на 2023-2024 год '!F209</f>
        <v>0</v>
      </c>
      <c r="G104" s="5">
        <f t="shared" si="56"/>
        <v>334245</v>
      </c>
      <c r="H104" s="2">
        <f>'гос.задание на 2023-2024 год '!H209</f>
        <v>334245</v>
      </c>
      <c r="I104" s="2">
        <f>'гос.задание на 2023-2024 год '!I209</f>
        <v>0</v>
      </c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55"/>
        <v>8428958.6199999992</v>
      </c>
      <c r="E105" s="2">
        <f>'гос.задание на 2023-2024 год '!E210</f>
        <v>8428958.6199999992</v>
      </c>
      <c r="F105" s="2">
        <f>'гос.задание на 2023-2024 год '!F210</f>
        <v>0</v>
      </c>
      <c r="G105" s="5">
        <f t="shared" si="56"/>
        <v>8428958.6199999992</v>
      </c>
      <c r="H105" s="2">
        <f>'гос.задание на 2023-2024 год '!H210</f>
        <v>8428958.6199999992</v>
      </c>
      <c r="I105" s="2">
        <f>'гос.задание на 2023-2024 год '!I210</f>
        <v>0</v>
      </c>
    </row>
    <row r="106" spans="1:9" ht="112.5" x14ac:dyDescent="0.25">
      <c r="A106" s="173" t="s">
        <v>347</v>
      </c>
      <c r="B106" s="172">
        <v>244</v>
      </c>
      <c r="C106" s="172">
        <v>347</v>
      </c>
      <c r="D106" s="5">
        <f t="shared" ref="D106" si="57">E106+F106</f>
        <v>0</v>
      </c>
      <c r="E106" s="2">
        <f>'гос.задание на 2023-2024 год '!E211</f>
        <v>0</v>
      </c>
      <c r="F106" s="2">
        <f>'гос.задание на 2023-2024 год '!F211</f>
        <v>0</v>
      </c>
      <c r="G106" s="5">
        <f t="shared" ref="G106" si="58">H106+I106</f>
        <v>0</v>
      </c>
      <c r="H106" s="2">
        <f>'гос.задание на 2023-2024 год '!H211</f>
        <v>0</v>
      </c>
      <c r="I106" s="2">
        <f>'гос.задание на 2023-2024 год '!I211</f>
        <v>0</v>
      </c>
    </row>
    <row r="107" spans="1:9" ht="113.25" thickBot="1" x14ac:dyDescent="0.3">
      <c r="A107" s="32" t="s">
        <v>43</v>
      </c>
      <c r="B107" s="33">
        <v>244</v>
      </c>
      <c r="C107" s="33">
        <v>349</v>
      </c>
      <c r="D107" s="34">
        <f t="shared" si="55"/>
        <v>148700</v>
      </c>
      <c r="E107" s="2">
        <f>'гос.задание на 2023-2024 год '!E212</f>
        <v>148700</v>
      </c>
      <c r="F107" s="2">
        <f>'гос.задание на 2023-2024 год '!F212</f>
        <v>0</v>
      </c>
      <c r="G107" s="34">
        <f t="shared" si="56"/>
        <v>148700</v>
      </c>
      <c r="H107" s="2">
        <f>'гос.задание на 2023-2024 год '!H212</f>
        <v>148700</v>
      </c>
      <c r="I107" s="2">
        <f>'гос.задание на 2023-2024 год '!I212</f>
        <v>0</v>
      </c>
    </row>
    <row r="110" spans="1:9" ht="37.5" x14ac:dyDescent="0.3">
      <c r="A110" s="29" t="s">
        <v>52</v>
      </c>
      <c r="B110" s="219"/>
      <c r="C110" s="219"/>
      <c r="D110" s="10"/>
      <c r="E110" s="219" t="s">
        <v>465</v>
      </c>
      <c r="F110" s="219"/>
    </row>
    <row r="111" spans="1:9" ht="18.75" x14ac:dyDescent="0.3">
      <c r="A111" s="29"/>
      <c r="B111" s="218" t="s">
        <v>53</v>
      </c>
      <c r="C111" s="218"/>
      <c r="D111" s="10"/>
      <c r="E111" s="218" t="s">
        <v>54</v>
      </c>
      <c r="F111" s="218"/>
    </row>
    <row r="112" spans="1:9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19"/>
      <c r="C113" s="219"/>
      <c r="D113" s="10"/>
      <c r="E113" s="219" t="s">
        <v>341</v>
      </c>
      <c r="F113" s="219"/>
    </row>
    <row r="114" spans="1:6" ht="18.75" x14ac:dyDescent="0.3">
      <c r="A114" s="29"/>
      <c r="B114" s="218" t="s">
        <v>53</v>
      </c>
      <c r="C114" s="218"/>
      <c r="D114" s="10"/>
      <c r="E114" s="218" t="s">
        <v>54</v>
      </c>
      <c r="F114" s="218"/>
    </row>
    <row r="115" spans="1:6" ht="18.75" x14ac:dyDescent="0.3">
      <c r="A115" s="29"/>
      <c r="B115" s="84"/>
      <c r="C115" s="84"/>
      <c r="D115" s="10"/>
      <c r="E115" s="84"/>
      <c r="F115" s="84"/>
    </row>
    <row r="116" spans="1:6" ht="18.75" x14ac:dyDescent="0.3">
      <c r="A116" s="29" t="s">
        <v>56</v>
      </c>
      <c r="B116" s="219"/>
      <c r="C116" s="219"/>
      <c r="D116" s="10"/>
      <c r="E116" s="219" t="s">
        <v>341</v>
      </c>
      <c r="F116" s="219"/>
    </row>
    <row r="117" spans="1:6" ht="18.75" x14ac:dyDescent="0.3">
      <c r="A117" s="29"/>
      <c r="B117" s="218" t="s">
        <v>53</v>
      </c>
      <c r="C117" s="218"/>
      <c r="D117" s="10"/>
      <c r="E117" s="218" t="s">
        <v>54</v>
      </c>
      <c r="F117" s="218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17" t="s">
        <v>44</v>
      </c>
      <c r="B119" s="217"/>
      <c r="C119" s="10"/>
      <c r="D119" s="10"/>
      <c r="E119" s="10"/>
      <c r="F119" s="10"/>
    </row>
  </sheetData>
  <mergeCells count="30">
    <mergeCell ref="A119:B119"/>
    <mergeCell ref="A1:I1"/>
    <mergeCell ref="A2:I2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H5:I5"/>
    <mergeCell ref="A83:A84"/>
    <mergeCell ref="A86:A87"/>
    <mergeCell ref="A60:I60"/>
    <mergeCell ref="A5:A7"/>
    <mergeCell ref="B5:B7"/>
    <mergeCell ref="C5:C7"/>
    <mergeCell ref="D5:D7"/>
    <mergeCell ref="E5:F5"/>
    <mergeCell ref="E6:F6"/>
    <mergeCell ref="H6:I6"/>
    <mergeCell ref="A12:I12"/>
    <mergeCell ref="G5:G7"/>
    <mergeCell ref="A35:A36"/>
    <mergeCell ref="A38:A39"/>
  </mergeCells>
  <pageMargins left="1.3779527559055118" right="0.39370078740157483" top="0.98425196850393704" bottom="0.78740157480314965" header="0.31496062992125984" footer="0.31496062992125984"/>
  <pageSetup paperSize="9" scale="65" firstPageNumber="12" orientation="landscape" useFirstPageNumber="1" r:id="rId1"/>
  <rowBreaks count="4" manualBreakCount="4">
    <brk id="44" max="16383" man="1"/>
    <brk id="52" max="16383" man="1"/>
    <brk id="59" max="16383" man="1"/>
    <brk id="10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5"/>
  <sheetViews>
    <sheetView view="pageBreakPreview" topLeftCell="A310" zoomScaleNormal="85" zoomScaleSheetLayoutView="100" workbookViewId="0">
      <selection activeCell="C16" sqref="C16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2"/>
      <c r="F1" s="312"/>
      <c r="G1" s="312"/>
    </row>
    <row r="2" spans="1:11" ht="40.15" customHeight="1" x14ac:dyDescent="0.25">
      <c r="A2" s="284" t="s">
        <v>491</v>
      </c>
      <c r="B2" s="284"/>
      <c r="C2" s="284"/>
      <c r="D2" s="284"/>
      <c r="E2" s="284"/>
      <c r="F2" s="284"/>
      <c r="G2" s="284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4" t="s">
        <v>399</v>
      </c>
      <c r="B4" s="284"/>
      <c r="C4" s="284"/>
      <c r="D4" s="284"/>
      <c r="E4" s="284"/>
      <c r="F4" s="284"/>
      <c r="G4" s="284"/>
    </row>
    <row r="5" spans="1:11" ht="43.9" customHeight="1" x14ac:dyDescent="0.25">
      <c r="A5" s="284" t="s">
        <v>174</v>
      </c>
      <c r="B5" s="284"/>
      <c r="C5" s="284"/>
      <c r="D5" s="284"/>
      <c r="E5" s="284"/>
      <c r="F5" s="284"/>
      <c r="G5" s="284"/>
    </row>
    <row r="6" spans="1:11" ht="18.75" x14ac:dyDescent="0.25">
      <c r="A6" s="108"/>
      <c r="B6" s="108"/>
      <c r="C6" s="108"/>
      <c r="D6" s="108"/>
      <c r="E6" s="108"/>
      <c r="F6" s="108"/>
      <c r="G6" s="1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106" t="s">
        <v>86</v>
      </c>
      <c r="B9" s="270" t="s">
        <v>172</v>
      </c>
      <c r="C9" s="270"/>
      <c r="D9" s="270" t="s">
        <v>173</v>
      </c>
      <c r="E9" s="270"/>
      <c r="F9" s="270" t="s">
        <v>171</v>
      </c>
      <c r="G9" s="270"/>
      <c r="K9" s="81"/>
    </row>
    <row r="10" spans="1:11" ht="18.75" x14ac:dyDescent="0.25">
      <c r="A10" s="106">
        <v>1</v>
      </c>
      <c r="B10" s="270">
        <v>2</v>
      </c>
      <c r="C10" s="270"/>
      <c r="D10" s="270">
        <v>3</v>
      </c>
      <c r="E10" s="270"/>
      <c r="F10" s="270">
        <v>4</v>
      </c>
      <c r="G10" s="270"/>
    </row>
    <row r="11" spans="1:11" ht="56.25" x14ac:dyDescent="0.25">
      <c r="A11" s="13" t="s">
        <v>170</v>
      </c>
      <c r="B11" s="270" t="s">
        <v>117</v>
      </c>
      <c r="C11" s="270"/>
      <c r="D11" s="270" t="s">
        <v>117</v>
      </c>
      <c r="E11" s="270"/>
      <c r="F11" s="273">
        <f>'гос.задание на 2023-2024 год '!E12</f>
        <v>164609021.74000001</v>
      </c>
      <c r="G11" s="273"/>
      <c r="H11" s="50"/>
      <c r="I11" s="50"/>
      <c r="J11" s="50"/>
      <c r="K11" s="50"/>
    </row>
    <row r="12" spans="1:11" ht="18.75" x14ac:dyDescent="0.25">
      <c r="A12" s="105"/>
    </row>
    <row r="13" spans="1:11" ht="48.6" customHeight="1" x14ac:dyDescent="0.25">
      <c r="A13" s="284" t="s">
        <v>400</v>
      </c>
      <c r="B13" s="284"/>
      <c r="C13" s="284"/>
      <c r="D13" s="284"/>
      <c r="E13" s="284"/>
      <c r="F13" s="284"/>
      <c r="G13" s="284"/>
    </row>
    <row r="14" spans="1:11" ht="18.75" x14ac:dyDescent="0.25">
      <c r="A14" s="8"/>
    </row>
    <row r="15" spans="1:11" ht="18.75" x14ac:dyDescent="0.25">
      <c r="A15" s="269" t="s">
        <v>189</v>
      </c>
      <c r="B15" s="269"/>
      <c r="C15" s="269"/>
      <c r="D15" s="269"/>
      <c r="E15" s="269"/>
      <c r="F15" s="269"/>
      <c r="G15" s="269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70" t="s">
        <v>76</v>
      </c>
      <c r="B19" s="270" t="s">
        <v>77</v>
      </c>
      <c r="C19" s="270" t="s">
        <v>78</v>
      </c>
      <c r="D19" s="270"/>
      <c r="E19" s="270"/>
      <c r="F19" s="270"/>
      <c r="G19" s="270" t="s">
        <v>79</v>
      </c>
    </row>
    <row r="20" spans="1:7" ht="18.75" x14ac:dyDescent="0.25">
      <c r="A20" s="270"/>
      <c r="B20" s="270"/>
      <c r="C20" s="270" t="s">
        <v>80</v>
      </c>
      <c r="D20" s="270" t="s">
        <v>6</v>
      </c>
      <c r="E20" s="270"/>
      <c r="F20" s="270"/>
      <c r="G20" s="270"/>
    </row>
    <row r="21" spans="1:7" ht="75" x14ac:dyDescent="0.25">
      <c r="A21" s="270"/>
      <c r="B21" s="270"/>
      <c r="C21" s="270"/>
      <c r="D21" s="12" t="s">
        <v>81</v>
      </c>
      <c r="E21" s="12" t="s">
        <v>82</v>
      </c>
      <c r="F21" s="12" t="s">
        <v>83</v>
      </c>
      <c r="G21" s="270"/>
    </row>
    <row r="22" spans="1:7" ht="18.75" x14ac:dyDescent="0.25">
      <c r="A22" s="206">
        <v>1</v>
      </c>
      <c r="B22" s="206">
        <v>2</v>
      </c>
      <c r="C22" s="206">
        <v>3</v>
      </c>
      <c r="D22" s="206">
        <v>4</v>
      </c>
      <c r="E22" s="206">
        <v>4</v>
      </c>
      <c r="F22" s="206">
        <v>5</v>
      </c>
      <c r="G22" s="20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6" si="0">D23+E23+F23</f>
        <v>55808</v>
      </c>
      <c r="D23" s="130">
        <v>17440</v>
      </c>
      <c r="E23" s="131"/>
      <c r="F23" s="132">
        <f>D23*220%</f>
        <v>38368</v>
      </c>
      <c r="G23" s="133">
        <f>C23*B23*12</f>
        <v>669696</v>
      </c>
    </row>
    <row r="24" spans="1:7" ht="31.5" x14ac:dyDescent="0.25">
      <c r="A24" s="134" t="s">
        <v>307</v>
      </c>
      <c r="B24" s="135">
        <v>1</v>
      </c>
      <c r="C24" s="130">
        <f t="shared" si="0"/>
        <v>45518.399999999994</v>
      </c>
      <c r="D24" s="136">
        <v>15696</v>
      </c>
      <c r="E24" s="131"/>
      <c r="F24" s="132">
        <f>D24*190%</f>
        <v>29822.399999999998</v>
      </c>
      <c r="G24" s="133">
        <f t="shared" ref="G24:G65" si="1">C24*B24*12</f>
        <v>546220.79999999993</v>
      </c>
    </row>
    <row r="25" spans="1:7" ht="63" x14ac:dyDescent="0.25">
      <c r="A25" s="137" t="s">
        <v>308</v>
      </c>
      <c r="B25" s="135">
        <v>1</v>
      </c>
      <c r="C25" s="130">
        <f t="shared" si="0"/>
        <v>45518.399999999994</v>
      </c>
      <c r="D25" s="136">
        <v>15696</v>
      </c>
      <c r="E25" s="131"/>
      <c r="F25" s="132">
        <f>D25*190%</f>
        <v>29822.399999999998</v>
      </c>
      <c r="G25" s="133">
        <f t="shared" si="1"/>
        <v>546220.79999999993</v>
      </c>
    </row>
    <row r="26" spans="1:7" ht="45.75" customHeight="1" x14ac:dyDescent="0.25">
      <c r="A26" s="134" t="s">
        <v>442</v>
      </c>
      <c r="B26" s="135">
        <v>1</v>
      </c>
      <c r="C26" s="130">
        <f t="shared" si="0"/>
        <v>47088</v>
      </c>
      <c r="D26" s="136">
        <v>15696</v>
      </c>
      <c r="E26" s="131"/>
      <c r="F26" s="132">
        <f>D26*200%</f>
        <v>31392</v>
      </c>
      <c r="G26" s="133">
        <f t="shared" si="1"/>
        <v>565056</v>
      </c>
    </row>
    <row r="27" spans="1:7" ht="15" customHeight="1" x14ac:dyDescent="0.25">
      <c r="A27" s="134" t="s">
        <v>338</v>
      </c>
      <c r="B27" s="135">
        <v>1</v>
      </c>
      <c r="C27" s="130">
        <f t="shared" si="0"/>
        <v>41010</v>
      </c>
      <c r="D27" s="136">
        <v>13670</v>
      </c>
      <c r="E27" s="131"/>
      <c r="F27" s="132">
        <f>D27*200%</f>
        <v>27340</v>
      </c>
      <c r="G27" s="133">
        <f t="shared" si="1"/>
        <v>492120</v>
      </c>
    </row>
    <row r="28" spans="1:7" ht="15.75" x14ac:dyDescent="0.25">
      <c r="A28" s="134" t="s">
        <v>309</v>
      </c>
      <c r="B28" s="135">
        <v>1</v>
      </c>
      <c r="C28" s="130">
        <f t="shared" si="0"/>
        <v>50227.200000000004</v>
      </c>
      <c r="D28" s="136">
        <v>15696</v>
      </c>
      <c r="E28" s="131"/>
      <c r="F28" s="132">
        <f>D28*220%</f>
        <v>34531.200000000004</v>
      </c>
      <c r="G28" s="133">
        <f t="shared" si="1"/>
        <v>602726.40000000002</v>
      </c>
    </row>
    <row r="29" spans="1:7" ht="15.75" x14ac:dyDescent="0.25">
      <c r="A29" s="134" t="s">
        <v>339</v>
      </c>
      <c r="B29" s="135">
        <v>1</v>
      </c>
      <c r="C29" s="130">
        <f>D29+E29+F29</f>
        <v>35420</v>
      </c>
      <c r="D29" s="136">
        <v>11000</v>
      </c>
      <c r="E29" s="131"/>
      <c r="F29" s="132">
        <f>D29*222%</f>
        <v>24420.000000000004</v>
      </c>
      <c r="G29" s="133">
        <f>C29*B29*12</f>
        <v>425040</v>
      </c>
    </row>
    <row r="30" spans="1:7" ht="15.75" x14ac:dyDescent="0.25">
      <c r="A30" s="180" t="s">
        <v>312</v>
      </c>
      <c r="B30" s="181">
        <f>SUM(B23:B29)</f>
        <v>7</v>
      </c>
      <c r="C30" s="182">
        <f>SUM(C23:C29)</f>
        <v>320590</v>
      </c>
      <c r="D30" s="183">
        <f>SUM(D23:D29)</f>
        <v>104894</v>
      </c>
      <c r="E30" s="147"/>
      <c r="F30" s="148">
        <f>SUM(F23:F29)</f>
        <v>215696</v>
      </c>
      <c r="G30" s="184">
        <f>SUM(G23:G29)</f>
        <v>3847079.9999999995</v>
      </c>
    </row>
    <row r="31" spans="1:7" ht="15.75" x14ac:dyDescent="0.25">
      <c r="A31" s="288" t="s">
        <v>361</v>
      </c>
      <c r="B31" s="289"/>
      <c r="C31" s="289"/>
      <c r="D31" s="289"/>
      <c r="E31" s="289"/>
      <c r="F31" s="289"/>
      <c r="G31" s="290"/>
    </row>
    <row r="32" spans="1:7" ht="15.75" x14ac:dyDescent="0.25">
      <c r="A32" s="134" t="s">
        <v>359</v>
      </c>
      <c r="B32" s="135">
        <v>1</v>
      </c>
      <c r="C32" s="130">
        <f t="shared" ref="C32" si="2">D32+E32+F32</f>
        <v>43744</v>
      </c>
      <c r="D32" s="136">
        <v>13670</v>
      </c>
      <c r="E32" s="131"/>
      <c r="F32" s="132">
        <f t="shared" ref="F32:F34" si="3">D32*220%</f>
        <v>30074.000000000004</v>
      </c>
      <c r="G32" s="133">
        <f>C32*B32*12</f>
        <v>524928</v>
      </c>
    </row>
    <row r="33" spans="1:7" ht="15.75" x14ac:dyDescent="0.25">
      <c r="A33" s="134" t="s">
        <v>310</v>
      </c>
      <c r="B33" s="135">
        <v>1</v>
      </c>
      <c r="C33" s="130">
        <f t="shared" si="0"/>
        <v>43744</v>
      </c>
      <c r="D33" s="136">
        <v>13670</v>
      </c>
      <c r="E33" s="131"/>
      <c r="F33" s="132">
        <f t="shared" si="3"/>
        <v>30074.000000000004</v>
      </c>
      <c r="G33" s="133">
        <f t="shared" si="1"/>
        <v>524928</v>
      </c>
    </row>
    <row r="34" spans="1:7" ht="15.75" x14ac:dyDescent="0.25">
      <c r="A34" s="134" t="s">
        <v>340</v>
      </c>
      <c r="B34" s="135">
        <v>1</v>
      </c>
      <c r="C34" s="130">
        <f t="shared" si="0"/>
        <v>43744</v>
      </c>
      <c r="D34" s="136">
        <v>13670</v>
      </c>
      <c r="E34" s="131"/>
      <c r="F34" s="132">
        <f t="shared" si="3"/>
        <v>30074.000000000004</v>
      </c>
      <c r="G34" s="133">
        <f t="shared" si="1"/>
        <v>524928</v>
      </c>
    </row>
    <row r="35" spans="1:7" ht="15.75" x14ac:dyDescent="0.25">
      <c r="A35" s="134" t="s">
        <v>362</v>
      </c>
      <c r="B35" s="135">
        <v>1</v>
      </c>
      <c r="C35" s="130">
        <f t="shared" si="0"/>
        <v>39180</v>
      </c>
      <c r="D35" s="136">
        <v>13060</v>
      </c>
      <c r="E35" s="131"/>
      <c r="F35" s="132">
        <f>D35*200%</f>
        <v>26120</v>
      </c>
      <c r="G35" s="133">
        <f t="shared" si="1"/>
        <v>470160</v>
      </c>
    </row>
    <row r="36" spans="1:7" ht="15.75" x14ac:dyDescent="0.25">
      <c r="A36" s="138" t="s">
        <v>355</v>
      </c>
      <c r="B36" s="139">
        <v>1</v>
      </c>
      <c r="C36" s="130">
        <f t="shared" si="0"/>
        <v>39180</v>
      </c>
      <c r="D36" s="140">
        <v>13060</v>
      </c>
      <c r="E36" s="131"/>
      <c r="F36" s="132">
        <f>D36*200%</f>
        <v>26120</v>
      </c>
      <c r="G36" s="133">
        <f>C36*B36*12</f>
        <v>470160</v>
      </c>
    </row>
    <row r="37" spans="1:7" ht="15.75" customHeight="1" x14ac:dyDescent="0.25">
      <c r="A37" s="141" t="s">
        <v>312</v>
      </c>
      <c r="B37" s="142">
        <f>SUM(B32:B36)</f>
        <v>5</v>
      </c>
      <c r="C37" s="143">
        <f>SUM(C32:C36)</f>
        <v>209592</v>
      </c>
      <c r="D37" s="143">
        <f>SUM(D32:D36)</f>
        <v>67130</v>
      </c>
      <c r="E37" s="143"/>
      <c r="F37" s="144">
        <f>SUM(F32:F36)</f>
        <v>142462</v>
      </c>
      <c r="G37" s="143">
        <f>SUM(G32:G36)</f>
        <v>2515104</v>
      </c>
    </row>
    <row r="38" spans="1:7" ht="15.75" customHeight="1" x14ac:dyDescent="0.25">
      <c r="A38" s="263" t="s">
        <v>313</v>
      </c>
      <c r="B38" s="264"/>
      <c r="C38" s="264"/>
      <c r="D38" s="264"/>
      <c r="E38" s="264"/>
      <c r="F38" s="264"/>
      <c r="G38" s="265"/>
    </row>
    <row r="39" spans="1:7" ht="15.75" x14ac:dyDescent="0.25">
      <c r="A39" s="145" t="s">
        <v>314</v>
      </c>
      <c r="B39" s="135">
        <v>1</v>
      </c>
      <c r="C39" s="136">
        <f>D39+E39+F39</f>
        <v>43744</v>
      </c>
      <c r="D39" s="136">
        <v>13670</v>
      </c>
      <c r="E39" s="131"/>
      <c r="F39" s="132">
        <f t="shared" ref="F39" si="4">D39*220%</f>
        <v>30074.000000000004</v>
      </c>
      <c r="G39" s="133">
        <f t="shared" si="1"/>
        <v>524928</v>
      </c>
    </row>
    <row r="40" spans="1:7" ht="15.75" x14ac:dyDescent="0.25">
      <c r="A40" s="145" t="s">
        <v>356</v>
      </c>
      <c r="B40" s="135">
        <v>1</v>
      </c>
      <c r="C40" s="136">
        <f>D40+E40+F40</f>
        <v>39180</v>
      </c>
      <c r="D40" s="136">
        <v>13060</v>
      </c>
      <c r="E40" s="131"/>
      <c r="F40" s="132">
        <f>D40*200%</f>
        <v>26120</v>
      </c>
      <c r="G40" s="133">
        <f>C40*B40*12</f>
        <v>470160</v>
      </c>
    </row>
    <row r="41" spans="1:7" ht="15.75" x14ac:dyDescent="0.25">
      <c r="A41" s="141" t="s">
        <v>312</v>
      </c>
      <c r="B41" s="142">
        <f>SUM(B39:B40)</f>
        <v>2</v>
      </c>
      <c r="C41" s="146">
        <f>SUM(C39:C40)</f>
        <v>82924</v>
      </c>
      <c r="D41" s="147">
        <f>SUM(D39:D40)</f>
        <v>26730</v>
      </c>
      <c r="E41" s="147">
        <f ca="1">SUM(E39:E45)</f>
        <v>0</v>
      </c>
      <c r="F41" s="148">
        <f>SUM(F39:F40)</f>
        <v>56194</v>
      </c>
      <c r="G41" s="143">
        <f>SUM(G39:G40)</f>
        <v>995088</v>
      </c>
    </row>
    <row r="42" spans="1:7" ht="15.75" x14ac:dyDescent="0.25">
      <c r="A42" s="263" t="s">
        <v>315</v>
      </c>
      <c r="B42" s="264"/>
      <c r="C42" s="264"/>
      <c r="D42" s="264"/>
      <c r="E42" s="264"/>
      <c r="F42" s="264"/>
      <c r="G42" s="265"/>
    </row>
    <row r="43" spans="1:7" ht="15.75" x14ac:dyDescent="0.25">
      <c r="A43" s="145" t="s">
        <v>316</v>
      </c>
      <c r="B43" s="135">
        <v>2</v>
      </c>
      <c r="C43" s="136">
        <f>D43+E43+F43</f>
        <v>28072</v>
      </c>
      <c r="D43" s="136">
        <v>12760</v>
      </c>
      <c r="E43" s="131"/>
      <c r="F43" s="132">
        <f>D43*120%</f>
        <v>15312</v>
      </c>
      <c r="G43" s="133">
        <f t="shared" si="1"/>
        <v>673728</v>
      </c>
    </row>
    <row r="44" spans="1:7" ht="15.75" x14ac:dyDescent="0.25">
      <c r="A44" s="145" t="s">
        <v>317</v>
      </c>
      <c r="B44" s="135">
        <v>7</v>
      </c>
      <c r="C44" s="136">
        <f>D44+E44+F44</f>
        <v>19108</v>
      </c>
      <c r="D44" s="136">
        <v>11240</v>
      </c>
      <c r="E44" s="131"/>
      <c r="F44" s="132">
        <f>D44*70%</f>
        <v>7867.9999999999991</v>
      </c>
      <c r="G44" s="133">
        <f t="shared" si="1"/>
        <v>1605072</v>
      </c>
    </row>
    <row r="45" spans="1:7" ht="15.75" x14ac:dyDescent="0.25">
      <c r="A45" s="145" t="s">
        <v>368</v>
      </c>
      <c r="B45" s="135">
        <v>3</v>
      </c>
      <c r="C45" s="136">
        <f>D45+E45+F45</f>
        <v>21135.5</v>
      </c>
      <c r="D45" s="136">
        <v>10310</v>
      </c>
      <c r="E45" s="131"/>
      <c r="F45" s="132">
        <f>D45*105%</f>
        <v>10825.5</v>
      </c>
      <c r="G45" s="133">
        <f>C45*B45*12</f>
        <v>760878</v>
      </c>
    </row>
    <row r="46" spans="1:7" ht="15.75" customHeight="1" x14ac:dyDescent="0.25">
      <c r="A46" s="141" t="s">
        <v>312</v>
      </c>
      <c r="B46" s="142">
        <f>SUM(B43:B45)</f>
        <v>12</v>
      </c>
      <c r="C46" s="146">
        <f>SUM(C43:C45)</f>
        <v>68315.5</v>
      </c>
      <c r="D46" s="146">
        <f>SUM(D43:D45)</f>
        <v>34310</v>
      </c>
      <c r="E46" s="146">
        <f t="shared" ref="E46" si="5">SUM(E43:E44)</f>
        <v>0</v>
      </c>
      <c r="F46" s="149">
        <f>SUM(F43:F45)</f>
        <v>34005.5</v>
      </c>
      <c r="G46" s="143">
        <f>SUM(G43:G45)</f>
        <v>3039678</v>
      </c>
    </row>
    <row r="47" spans="1:7" ht="30" customHeight="1" x14ac:dyDescent="0.25">
      <c r="A47" s="266" t="s">
        <v>318</v>
      </c>
      <c r="B47" s="267"/>
      <c r="C47" s="267"/>
      <c r="D47" s="267"/>
      <c r="E47" s="267"/>
      <c r="F47" s="267"/>
      <c r="G47" s="268"/>
    </row>
    <row r="48" spans="1:7" ht="47.25" x14ac:dyDescent="0.25">
      <c r="A48" s="145" t="s">
        <v>319</v>
      </c>
      <c r="B48" s="135">
        <v>2</v>
      </c>
      <c r="C48" s="136">
        <f t="shared" ref="C48:C54" si="6">D48+E48+F48</f>
        <v>32064</v>
      </c>
      <c r="D48" s="136">
        <v>13360</v>
      </c>
      <c r="E48" s="131"/>
      <c r="F48" s="132">
        <f>D48*140%</f>
        <v>18704</v>
      </c>
      <c r="G48" s="133">
        <f t="shared" si="1"/>
        <v>769536</v>
      </c>
    </row>
    <row r="49" spans="1:7" ht="15.75" x14ac:dyDescent="0.25">
      <c r="A49" s="145" t="s">
        <v>320</v>
      </c>
      <c r="B49" s="135">
        <v>3</v>
      </c>
      <c r="C49" s="136">
        <f t="shared" si="6"/>
        <v>32064</v>
      </c>
      <c r="D49" s="136">
        <v>13360</v>
      </c>
      <c r="E49" s="131"/>
      <c r="F49" s="132">
        <f>D49*140%</f>
        <v>18704</v>
      </c>
      <c r="G49" s="133">
        <f>C49*B49*12</f>
        <v>1154304</v>
      </c>
    </row>
    <row r="50" spans="1:7" ht="15.75" x14ac:dyDescent="0.25">
      <c r="A50" s="145" t="s">
        <v>321</v>
      </c>
      <c r="B50" s="135">
        <v>2</v>
      </c>
      <c r="C50" s="136">
        <f t="shared" si="6"/>
        <v>34188</v>
      </c>
      <c r="D50" s="136">
        <v>12210</v>
      </c>
      <c r="E50" s="131"/>
      <c r="F50" s="132">
        <f>D50*180%</f>
        <v>21978</v>
      </c>
      <c r="G50" s="133">
        <f t="shared" si="1"/>
        <v>820512</v>
      </c>
    </row>
    <row r="51" spans="1:7" ht="15.75" x14ac:dyDescent="0.25">
      <c r="A51" s="145" t="s">
        <v>322</v>
      </c>
      <c r="B51" s="135">
        <v>7</v>
      </c>
      <c r="C51" s="136">
        <f t="shared" si="6"/>
        <v>33956</v>
      </c>
      <c r="D51" s="136">
        <v>13060</v>
      </c>
      <c r="E51" s="131"/>
      <c r="F51" s="132">
        <f>D51*160%</f>
        <v>20896</v>
      </c>
      <c r="G51" s="133">
        <f>C51*B51*12</f>
        <v>2852304</v>
      </c>
    </row>
    <row r="52" spans="1:7" ht="31.5" x14ac:dyDescent="0.25">
      <c r="A52" s="138" t="s">
        <v>311</v>
      </c>
      <c r="B52" s="139">
        <v>1</v>
      </c>
      <c r="C52" s="130">
        <f t="shared" si="6"/>
        <v>33956</v>
      </c>
      <c r="D52" s="140">
        <v>13060</v>
      </c>
      <c r="E52" s="131"/>
      <c r="F52" s="132">
        <f>D52*160%</f>
        <v>20896</v>
      </c>
      <c r="G52" s="133">
        <f>C52*B52*12</f>
        <v>407472</v>
      </c>
    </row>
    <row r="53" spans="1:7" ht="15.75" customHeight="1" x14ac:dyDescent="0.25">
      <c r="A53" s="162" t="s">
        <v>365</v>
      </c>
      <c r="B53" s="135">
        <v>1</v>
      </c>
      <c r="C53" s="136">
        <f t="shared" si="6"/>
        <v>26862</v>
      </c>
      <c r="D53" s="136">
        <v>12210</v>
      </c>
      <c r="E53" s="131"/>
      <c r="F53" s="132">
        <f>D53*120%</f>
        <v>14652</v>
      </c>
      <c r="G53" s="133">
        <f>C53*B53*12</f>
        <v>322344</v>
      </c>
    </row>
    <row r="54" spans="1:7" ht="15.75" x14ac:dyDescent="0.25">
      <c r="A54" s="162" t="s">
        <v>334</v>
      </c>
      <c r="B54" s="135">
        <v>1</v>
      </c>
      <c r="C54" s="136">
        <f t="shared" si="6"/>
        <v>32967</v>
      </c>
      <c r="D54" s="136">
        <v>12210</v>
      </c>
      <c r="E54" s="131"/>
      <c r="F54" s="132">
        <f>D54*170%</f>
        <v>20757</v>
      </c>
      <c r="G54" s="133">
        <f>C54*B54*12</f>
        <v>395604</v>
      </c>
    </row>
    <row r="55" spans="1:7" ht="15.75" x14ac:dyDescent="0.25">
      <c r="A55" s="141" t="s">
        <v>312</v>
      </c>
      <c r="B55" s="142">
        <f>SUM(B48:B54)</f>
        <v>17</v>
      </c>
      <c r="C55" s="146">
        <f>SUM(C48:C54)</f>
        <v>226057</v>
      </c>
      <c r="D55" s="146">
        <f>SUM(D48:D54)</f>
        <v>89470</v>
      </c>
      <c r="E55" s="146">
        <f>SUM(E48:E54)</f>
        <v>0</v>
      </c>
      <c r="F55" s="146">
        <f t="shared" ref="F55:G55" si="7">SUM(F48:F54)</f>
        <v>136587</v>
      </c>
      <c r="G55" s="146">
        <f t="shared" si="7"/>
        <v>6722076</v>
      </c>
    </row>
    <row r="56" spans="1:7" ht="15.75" customHeight="1" x14ac:dyDescent="0.25">
      <c r="A56" s="263" t="s">
        <v>323</v>
      </c>
      <c r="B56" s="264"/>
      <c r="C56" s="264"/>
      <c r="D56" s="264"/>
      <c r="E56" s="264"/>
      <c r="F56" s="264"/>
      <c r="G56" s="265"/>
    </row>
    <row r="57" spans="1:7" ht="15.75" x14ac:dyDescent="0.25">
      <c r="A57" s="145" t="s">
        <v>324</v>
      </c>
      <c r="B57" s="135">
        <v>2</v>
      </c>
      <c r="C57" s="136">
        <f>D57+E57+F57</f>
        <v>28083</v>
      </c>
      <c r="D57" s="136">
        <v>12210</v>
      </c>
      <c r="E57" s="131"/>
      <c r="F57" s="132">
        <f>D57*130%</f>
        <v>15873</v>
      </c>
      <c r="G57" s="133">
        <f t="shared" si="1"/>
        <v>673992</v>
      </c>
    </row>
    <row r="58" spans="1:7" ht="15.75" x14ac:dyDescent="0.25">
      <c r="A58" s="145" t="s">
        <v>325</v>
      </c>
      <c r="B58" s="135">
        <v>4</v>
      </c>
      <c r="C58" s="136">
        <f>D58+E58+F58</f>
        <v>28083</v>
      </c>
      <c r="D58" s="136">
        <v>12210</v>
      </c>
      <c r="E58" s="131"/>
      <c r="F58" s="132">
        <f>D58*130%</f>
        <v>15873</v>
      </c>
      <c r="G58" s="133">
        <f t="shared" si="1"/>
        <v>1347984</v>
      </c>
    </row>
    <row r="59" spans="1:7" ht="15.75" x14ac:dyDescent="0.25">
      <c r="A59" s="141" t="s">
        <v>312</v>
      </c>
      <c r="B59" s="142">
        <f t="shared" ref="B59:G59" si="8">SUM(B57:B58)</f>
        <v>6</v>
      </c>
      <c r="C59" s="146">
        <f t="shared" si="8"/>
        <v>56166</v>
      </c>
      <c r="D59" s="147">
        <f t="shared" si="8"/>
        <v>24420</v>
      </c>
      <c r="E59" s="147">
        <f t="shared" si="8"/>
        <v>0</v>
      </c>
      <c r="F59" s="148">
        <f t="shared" si="8"/>
        <v>31746</v>
      </c>
      <c r="G59" s="143">
        <f t="shared" si="8"/>
        <v>2021976</v>
      </c>
    </row>
    <row r="60" spans="1:7" ht="15.75" x14ac:dyDescent="0.25">
      <c r="A60" s="285" t="s">
        <v>326</v>
      </c>
      <c r="B60" s="286"/>
      <c r="C60" s="286"/>
      <c r="D60" s="286"/>
      <c r="E60" s="286"/>
      <c r="F60" s="286"/>
      <c r="G60" s="287"/>
    </row>
    <row r="61" spans="1:7" ht="31.5" x14ac:dyDescent="0.25">
      <c r="A61" s="145" t="s">
        <v>337</v>
      </c>
      <c r="B61" s="135">
        <v>1</v>
      </c>
      <c r="C61" s="136">
        <f t="shared" ref="C61:C67" si="9">D61+E61+F61</f>
        <v>36322</v>
      </c>
      <c r="D61" s="136">
        <v>13970</v>
      </c>
      <c r="E61" s="131"/>
      <c r="F61" s="132">
        <f>D61*160%</f>
        <v>22352</v>
      </c>
      <c r="G61" s="133">
        <f t="shared" ref="G61" si="10">C61*B61*12</f>
        <v>435864</v>
      </c>
    </row>
    <row r="62" spans="1:7" ht="15.75" x14ac:dyDescent="0.25">
      <c r="A62" s="145" t="s">
        <v>335</v>
      </c>
      <c r="B62" s="135">
        <v>1</v>
      </c>
      <c r="C62" s="136">
        <f t="shared" si="9"/>
        <v>25641</v>
      </c>
      <c r="D62" s="136">
        <v>12210</v>
      </c>
      <c r="E62" s="131"/>
      <c r="F62" s="132">
        <f t="shared" ref="F62" si="11">D62*110%</f>
        <v>13431.000000000002</v>
      </c>
      <c r="G62" s="133">
        <f t="shared" si="1"/>
        <v>307692</v>
      </c>
    </row>
    <row r="63" spans="1:7" ht="31.5" x14ac:dyDescent="0.25">
      <c r="A63" s="145" t="s">
        <v>336</v>
      </c>
      <c r="B63" s="135">
        <v>2</v>
      </c>
      <c r="C63" s="136">
        <f>D63+E63+F63</f>
        <v>21540</v>
      </c>
      <c r="D63" s="136">
        <v>10770</v>
      </c>
      <c r="E63" s="131"/>
      <c r="F63" s="132">
        <f>D63*100%</f>
        <v>10770</v>
      </c>
      <c r="G63" s="133">
        <f>C63*B63*12</f>
        <v>516960</v>
      </c>
    </row>
    <row r="64" spans="1:7" ht="15.75" x14ac:dyDescent="0.25">
      <c r="A64" s="145" t="s">
        <v>327</v>
      </c>
      <c r="B64" s="135">
        <v>2</v>
      </c>
      <c r="C64" s="136">
        <f t="shared" si="9"/>
        <v>21540</v>
      </c>
      <c r="D64" s="136">
        <v>10770</v>
      </c>
      <c r="E64" s="131"/>
      <c r="F64" s="132">
        <f>D64*100%</f>
        <v>10770</v>
      </c>
      <c r="G64" s="133">
        <f t="shared" si="1"/>
        <v>516960</v>
      </c>
    </row>
    <row r="65" spans="1:9" ht="15.75" x14ac:dyDescent="0.25">
      <c r="A65" s="145" t="s">
        <v>328</v>
      </c>
      <c r="B65" s="135">
        <v>8</v>
      </c>
      <c r="C65" s="136">
        <f t="shared" si="9"/>
        <v>18500</v>
      </c>
      <c r="D65" s="136">
        <v>9250</v>
      </c>
      <c r="E65" s="131"/>
      <c r="F65" s="132">
        <f>D65*100%</f>
        <v>9250</v>
      </c>
      <c r="G65" s="133">
        <f t="shared" si="1"/>
        <v>1776000</v>
      </c>
    </row>
    <row r="66" spans="1:9" ht="31.5" x14ac:dyDescent="0.25">
      <c r="A66" s="145" t="s">
        <v>329</v>
      </c>
      <c r="B66" s="135">
        <v>3</v>
      </c>
      <c r="C66" s="136">
        <f t="shared" si="9"/>
        <v>18500</v>
      </c>
      <c r="D66" s="136">
        <v>9250</v>
      </c>
      <c r="E66" s="131"/>
      <c r="F66" s="132">
        <f>D66*100%</f>
        <v>9250</v>
      </c>
      <c r="G66" s="133">
        <f>C66*B66*12</f>
        <v>666000</v>
      </c>
    </row>
    <row r="67" spans="1:9" ht="15.75" x14ac:dyDescent="0.25">
      <c r="A67" s="150" t="s">
        <v>330</v>
      </c>
      <c r="B67" s="151">
        <v>1</v>
      </c>
      <c r="C67" s="136">
        <f t="shared" si="9"/>
        <v>28988.5</v>
      </c>
      <c r="D67" s="152">
        <v>11240</v>
      </c>
      <c r="E67" s="131"/>
      <c r="F67" s="132">
        <f>D67*150%+888.5</f>
        <v>17748.5</v>
      </c>
      <c r="G67" s="133">
        <f>C67*B67*12</f>
        <v>347862</v>
      </c>
    </row>
    <row r="68" spans="1:9" ht="16.5" thickBot="1" x14ac:dyDescent="0.3">
      <c r="A68" s="153" t="s">
        <v>312</v>
      </c>
      <c r="B68" s="154">
        <f t="shared" ref="B68" si="12">SUM(B61:B67)</f>
        <v>18</v>
      </c>
      <c r="C68" s="155">
        <f>SUM(C61:C67)</f>
        <v>171031.5</v>
      </c>
      <c r="D68" s="155">
        <f>SUM(D61:D67)</f>
        <v>77460</v>
      </c>
      <c r="E68" s="155"/>
      <c r="F68" s="156">
        <f>SUM(F61:F67)</f>
        <v>93571.5</v>
      </c>
      <c r="G68" s="157">
        <f>SUM(G61:G67)</f>
        <v>4567338</v>
      </c>
    </row>
    <row r="69" spans="1:9" ht="16.5" thickBot="1" x14ac:dyDescent="0.3">
      <c r="A69" s="158" t="s">
        <v>331</v>
      </c>
      <c r="B69" s="159">
        <f>B30+B37+B41+B46+B55+B59+B68</f>
        <v>67</v>
      </c>
      <c r="C69" s="160">
        <f>C30+C37+C41+C46+C55+C59+C68</f>
        <v>1134676</v>
      </c>
      <c r="D69" s="160">
        <f>D30+D37+D41+D46+D55+D59+D68</f>
        <v>424414</v>
      </c>
      <c r="E69" s="160"/>
      <c r="F69" s="160">
        <f>F30+F37+F41+F46+F55+F59+F68</f>
        <v>710262</v>
      </c>
      <c r="G69" s="160">
        <f>G30+G37+G41+G46+G55+G59+G68</f>
        <v>23708340</v>
      </c>
    </row>
    <row r="70" spans="1:9" ht="15.75" x14ac:dyDescent="0.25">
      <c r="A70" s="291" t="s">
        <v>357</v>
      </c>
      <c r="B70" s="292"/>
      <c r="C70" s="292"/>
      <c r="D70" s="292"/>
      <c r="E70" s="292"/>
      <c r="F70" s="292"/>
      <c r="G70" s="293"/>
    </row>
    <row r="71" spans="1:9" ht="15.75" x14ac:dyDescent="0.25">
      <c r="A71" s="128" t="s">
        <v>358</v>
      </c>
      <c r="B71" s="129">
        <v>1</v>
      </c>
      <c r="C71" s="130">
        <f t="shared" ref="C71:C76" si="13">D71+E71+F71</f>
        <v>49402</v>
      </c>
      <c r="D71" s="130">
        <v>14530</v>
      </c>
      <c r="E71" s="131"/>
      <c r="F71" s="132">
        <f>D71*240%</f>
        <v>34872</v>
      </c>
      <c r="G71" s="133">
        <f>C71*B71*12</f>
        <v>592824</v>
      </c>
    </row>
    <row r="72" spans="1:9" ht="15.75" x14ac:dyDescent="0.25">
      <c r="A72" s="134" t="s">
        <v>338</v>
      </c>
      <c r="B72" s="135">
        <v>1</v>
      </c>
      <c r="C72" s="130">
        <f t="shared" si="13"/>
        <v>42377</v>
      </c>
      <c r="D72" s="136">
        <v>13670</v>
      </c>
      <c r="E72" s="131"/>
      <c r="F72" s="132">
        <f>D72*210%</f>
        <v>28707</v>
      </c>
      <c r="G72" s="133">
        <f t="shared" ref="G72:G74" si="14">C72*B72*12</f>
        <v>508524</v>
      </c>
    </row>
    <row r="73" spans="1:9" ht="15.75" x14ac:dyDescent="0.25">
      <c r="A73" s="134" t="s">
        <v>486</v>
      </c>
      <c r="B73" s="135">
        <v>1</v>
      </c>
      <c r="C73" s="130">
        <f t="shared" si="13"/>
        <v>32967</v>
      </c>
      <c r="D73" s="136">
        <v>12210</v>
      </c>
      <c r="E73" s="131"/>
      <c r="F73" s="132">
        <f>D73*170%</f>
        <v>20757</v>
      </c>
      <c r="G73" s="133">
        <f t="shared" si="14"/>
        <v>395604</v>
      </c>
    </row>
    <row r="74" spans="1:9" ht="15.75" x14ac:dyDescent="0.25">
      <c r="A74" s="134" t="s">
        <v>360</v>
      </c>
      <c r="B74" s="135">
        <v>1</v>
      </c>
      <c r="C74" s="130">
        <f t="shared" si="13"/>
        <v>33956</v>
      </c>
      <c r="D74" s="136">
        <v>13060</v>
      </c>
      <c r="E74" s="131"/>
      <c r="F74" s="132">
        <f>D74*160%</f>
        <v>20896</v>
      </c>
      <c r="G74" s="133">
        <f t="shared" si="14"/>
        <v>407472</v>
      </c>
    </row>
    <row r="75" spans="1:9" ht="15.75" x14ac:dyDescent="0.25">
      <c r="A75" s="128" t="s">
        <v>487</v>
      </c>
      <c r="B75" s="129">
        <v>1</v>
      </c>
      <c r="C75" s="130">
        <f t="shared" si="13"/>
        <v>28868</v>
      </c>
      <c r="D75" s="130">
        <v>10310</v>
      </c>
      <c r="E75" s="131"/>
      <c r="F75" s="132">
        <f>D75*180%</f>
        <v>18558</v>
      </c>
      <c r="G75" s="133">
        <f>C75*B75*12</f>
        <v>346416</v>
      </c>
    </row>
    <row r="76" spans="1:9" ht="15.75" x14ac:dyDescent="0.25">
      <c r="A76" s="128" t="s">
        <v>355</v>
      </c>
      <c r="B76" s="129">
        <v>1</v>
      </c>
      <c r="C76" s="130">
        <f t="shared" si="13"/>
        <v>27426</v>
      </c>
      <c r="D76" s="130">
        <v>13060</v>
      </c>
      <c r="E76" s="131"/>
      <c r="F76" s="132">
        <f>D76*110%</f>
        <v>14366.000000000002</v>
      </c>
      <c r="G76" s="133">
        <f>C76*B76*12</f>
        <v>329112</v>
      </c>
    </row>
    <row r="77" spans="1:9" ht="15.75" x14ac:dyDescent="0.25">
      <c r="A77" s="141" t="s">
        <v>312</v>
      </c>
      <c r="B77" s="142">
        <f>SUM(B71:B76)</f>
        <v>6</v>
      </c>
      <c r="C77" s="143">
        <f>SUM(C71:C76)</f>
        <v>214996</v>
      </c>
      <c r="D77" s="143">
        <f>SUM(D71:D76)</f>
        <v>76840</v>
      </c>
      <c r="E77" s="143">
        <f>SUM(E75:E75)</f>
        <v>0</v>
      </c>
      <c r="F77" s="144">
        <f>SUM(F71:F76)</f>
        <v>138156</v>
      </c>
      <c r="G77" s="143">
        <f>SUM(G71:G76)</f>
        <v>2579952</v>
      </c>
    </row>
    <row r="78" spans="1:9" ht="15.75" x14ac:dyDescent="0.25">
      <c r="A78" s="263" t="s">
        <v>315</v>
      </c>
      <c r="B78" s="264"/>
      <c r="C78" s="264"/>
      <c r="D78" s="264"/>
      <c r="E78" s="264"/>
      <c r="F78" s="264"/>
      <c r="G78" s="265"/>
      <c r="H78" s="166"/>
      <c r="I78" s="166"/>
    </row>
    <row r="79" spans="1:9" ht="15.75" x14ac:dyDescent="0.25">
      <c r="A79" s="128" t="s">
        <v>359</v>
      </c>
      <c r="B79" s="129">
        <v>1</v>
      </c>
      <c r="C79" s="130">
        <f t="shared" ref="C79" si="15">D79+E79+F79</f>
        <v>42377</v>
      </c>
      <c r="D79" s="130">
        <v>13670</v>
      </c>
      <c r="E79" s="131"/>
      <c r="F79" s="132">
        <f>D79*210%</f>
        <v>28707</v>
      </c>
      <c r="G79" s="133">
        <f>C79*B79*12</f>
        <v>508524</v>
      </c>
      <c r="H79" s="167"/>
      <c r="I79" s="167"/>
    </row>
    <row r="80" spans="1:9" ht="15.75" x14ac:dyDescent="0.25">
      <c r="A80" s="145" t="s">
        <v>316</v>
      </c>
      <c r="B80" s="135">
        <v>2</v>
      </c>
      <c r="C80" s="136">
        <f>D80+E80+F80</f>
        <v>33176</v>
      </c>
      <c r="D80" s="136">
        <v>12760</v>
      </c>
      <c r="E80" s="131"/>
      <c r="F80" s="132">
        <f>D80*160%</f>
        <v>20416</v>
      </c>
      <c r="G80" s="133">
        <f t="shared" ref="G80:G81" si="16">C80*B80*12</f>
        <v>796224</v>
      </c>
      <c r="H80" s="168"/>
      <c r="I80" s="168"/>
    </row>
    <row r="81" spans="1:9" ht="15.75" x14ac:dyDescent="0.25">
      <c r="A81" s="145" t="s">
        <v>317</v>
      </c>
      <c r="B81" s="135">
        <v>9</v>
      </c>
      <c r="C81" s="136">
        <f>D81+E81+F81</f>
        <v>21356</v>
      </c>
      <c r="D81" s="136">
        <v>11240</v>
      </c>
      <c r="E81" s="131"/>
      <c r="F81" s="132">
        <f>D81*90%</f>
        <v>10116</v>
      </c>
      <c r="G81" s="133">
        <f t="shared" si="16"/>
        <v>2306448</v>
      </c>
      <c r="H81" s="168"/>
      <c r="I81" s="168"/>
    </row>
    <row r="82" spans="1:9" ht="15.75" customHeight="1" x14ac:dyDescent="0.25">
      <c r="A82" s="145" t="s">
        <v>368</v>
      </c>
      <c r="B82" s="135">
        <v>4</v>
      </c>
      <c r="C82" s="136">
        <f>D82+E82+F82</f>
        <v>22682</v>
      </c>
      <c r="D82" s="136">
        <v>10310</v>
      </c>
      <c r="E82" s="131"/>
      <c r="F82" s="132">
        <f>D82*120%</f>
        <v>12372</v>
      </c>
      <c r="G82" s="133">
        <f>C82*B82*12</f>
        <v>1088736</v>
      </c>
      <c r="H82" s="168"/>
      <c r="I82" s="168"/>
    </row>
    <row r="83" spans="1:9" ht="15.75" x14ac:dyDescent="0.25">
      <c r="A83" s="145" t="s">
        <v>332</v>
      </c>
      <c r="B83" s="135">
        <v>1</v>
      </c>
      <c r="C83" s="136">
        <f>D83+E83+F83</f>
        <v>22682</v>
      </c>
      <c r="D83" s="136">
        <v>10310</v>
      </c>
      <c r="E83" s="131"/>
      <c r="F83" s="132">
        <f>D83*120%</f>
        <v>12372</v>
      </c>
      <c r="G83" s="133">
        <f>C83*B83*12</f>
        <v>272184</v>
      </c>
      <c r="H83" s="168"/>
      <c r="I83" s="168"/>
    </row>
    <row r="84" spans="1:9" ht="15.75" x14ac:dyDescent="0.25">
      <c r="A84" s="141" t="s">
        <v>312</v>
      </c>
      <c r="B84" s="142">
        <f t="shared" ref="B84:G84" si="17">SUM(B79:B83)</f>
        <v>17</v>
      </c>
      <c r="C84" s="146">
        <f>SUM(C79:C83)</f>
        <v>142273</v>
      </c>
      <c r="D84" s="146">
        <f t="shared" si="17"/>
        <v>58290</v>
      </c>
      <c r="E84" s="146">
        <f t="shared" si="17"/>
        <v>0</v>
      </c>
      <c r="F84" s="149">
        <f t="shared" si="17"/>
        <v>83983</v>
      </c>
      <c r="G84" s="143">
        <f t="shared" si="17"/>
        <v>4972116</v>
      </c>
      <c r="H84" s="168"/>
      <c r="I84" s="168"/>
    </row>
    <row r="85" spans="1:9" ht="15.75" customHeight="1" x14ac:dyDescent="0.25">
      <c r="A85" s="266" t="s">
        <v>318</v>
      </c>
      <c r="B85" s="267"/>
      <c r="C85" s="267"/>
      <c r="D85" s="267"/>
      <c r="E85" s="267"/>
      <c r="F85" s="267"/>
      <c r="G85" s="268"/>
    </row>
    <row r="86" spans="1:9" ht="15.75" x14ac:dyDescent="0.25">
      <c r="A86" s="128" t="s">
        <v>359</v>
      </c>
      <c r="B86" s="129">
        <v>1</v>
      </c>
      <c r="C86" s="130">
        <f t="shared" ref="C86:C93" si="18">D86+E86+F86</f>
        <v>42377</v>
      </c>
      <c r="D86" s="130">
        <v>13670</v>
      </c>
      <c r="E86" s="131"/>
      <c r="F86" s="132">
        <f>D86*210%</f>
        <v>28707</v>
      </c>
      <c r="G86" s="133">
        <f>C86*B86*12</f>
        <v>508524</v>
      </c>
    </row>
    <row r="87" spans="1:9" ht="31.5" x14ac:dyDescent="0.25">
      <c r="A87" s="145" t="s">
        <v>333</v>
      </c>
      <c r="B87" s="135">
        <v>1</v>
      </c>
      <c r="C87" s="136">
        <f t="shared" si="18"/>
        <v>37408</v>
      </c>
      <c r="D87" s="136">
        <v>13360</v>
      </c>
      <c r="E87" s="131"/>
      <c r="F87" s="132">
        <f>D87*180%</f>
        <v>24048</v>
      </c>
      <c r="G87" s="133">
        <f t="shared" ref="G87:G90" si="19">C87*B87*12</f>
        <v>448896</v>
      </c>
    </row>
    <row r="88" spans="1:9" ht="31.5" x14ac:dyDescent="0.25">
      <c r="A88" s="145" t="s">
        <v>363</v>
      </c>
      <c r="B88" s="135">
        <v>1</v>
      </c>
      <c r="C88" s="136">
        <f t="shared" si="18"/>
        <v>37408</v>
      </c>
      <c r="D88" s="136">
        <v>13360</v>
      </c>
      <c r="E88" s="131"/>
      <c r="F88" s="132">
        <f>D88*180%</f>
        <v>24048</v>
      </c>
      <c r="G88" s="133">
        <f t="shared" si="19"/>
        <v>448896</v>
      </c>
    </row>
    <row r="89" spans="1:9" ht="15.75" x14ac:dyDescent="0.25">
      <c r="A89" s="145" t="s">
        <v>320</v>
      </c>
      <c r="B89" s="135">
        <v>3</v>
      </c>
      <c r="C89" s="136">
        <f t="shared" si="18"/>
        <v>37408</v>
      </c>
      <c r="D89" s="136">
        <v>13360</v>
      </c>
      <c r="E89" s="131"/>
      <c r="F89" s="132">
        <f>D89*180%</f>
        <v>24048</v>
      </c>
      <c r="G89" s="133">
        <f t="shared" si="19"/>
        <v>1346688</v>
      </c>
    </row>
    <row r="90" spans="1:9" ht="15.75" x14ac:dyDescent="0.25">
      <c r="A90" s="145" t="s">
        <v>321</v>
      </c>
      <c r="B90" s="135">
        <v>2</v>
      </c>
      <c r="C90" s="136">
        <f t="shared" si="18"/>
        <v>32967</v>
      </c>
      <c r="D90" s="136">
        <v>12210</v>
      </c>
      <c r="E90" s="131"/>
      <c r="F90" s="132">
        <f>D90*170%</f>
        <v>20757</v>
      </c>
      <c r="G90" s="133">
        <f t="shared" si="19"/>
        <v>791208</v>
      </c>
    </row>
    <row r="91" spans="1:9" ht="15.75" x14ac:dyDescent="0.25">
      <c r="A91" s="145" t="s">
        <v>322</v>
      </c>
      <c r="B91" s="135">
        <v>6</v>
      </c>
      <c r="C91" s="136">
        <f t="shared" si="18"/>
        <v>35262</v>
      </c>
      <c r="D91" s="136">
        <v>13060</v>
      </c>
      <c r="E91" s="131"/>
      <c r="F91" s="132">
        <f>D91*170%</f>
        <v>22202</v>
      </c>
      <c r="G91" s="133">
        <f>C91*B91*12</f>
        <v>2538864</v>
      </c>
    </row>
    <row r="92" spans="1:9" ht="31.5" x14ac:dyDescent="0.25">
      <c r="A92" s="145" t="s">
        <v>364</v>
      </c>
      <c r="B92" s="135">
        <v>1</v>
      </c>
      <c r="C92" s="136">
        <f t="shared" si="18"/>
        <v>33669</v>
      </c>
      <c r="D92" s="136">
        <v>12470</v>
      </c>
      <c r="E92" s="131"/>
      <c r="F92" s="132">
        <f>D92*170%</f>
        <v>21199</v>
      </c>
      <c r="G92" s="133">
        <f>C92*B92*12</f>
        <v>404028</v>
      </c>
    </row>
    <row r="93" spans="1:9" ht="15.75" customHeight="1" x14ac:dyDescent="0.25">
      <c r="A93" s="145" t="s">
        <v>365</v>
      </c>
      <c r="B93" s="135">
        <v>1</v>
      </c>
      <c r="C93" s="136">
        <f t="shared" si="18"/>
        <v>30525</v>
      </c>
      <c r="D93" s="136">
        <v>12210</v>
      </c>
      <c r="E93" s="131"/>
      <c r="F93" s="132">
        <f>D93*150%</f>
        <v>18315</v>
      </c>
      <c r="G93" s="133">
        <f>C93*B93*12</f>
        <v>366300</v>
      </c>
    </row>
    <row r="94" spans="1:9" ht="15.75" x14ac:dyDescent="0.25">
      <c r="A94" s="162" t="s">
        <v>334</v>
      </c>
      <c r="B94" s="135">
        <v>1</v>
      </c>
      <c r="C94" s="136">
        <f>D94+E94+F94</f>
        <v>31746</v>
      </c>
      <c r="D94" s="136">
        <v>12210</v>
      </c>
      <c r="E94" s="131"/>
      <c r="F94" s="132">
        <f>D94*160%</f>
        <v>19536</v>
      </c>
      <c r="G94" s="133">
        <f>C94*B94*12</f>
        <v>380952</v>
      </c>
    </row>
    <row r="95" spans="1:9" ht="31.5" x14ac:dyDescent="0.25">
      <c r="A95" s="138" t="s">
        <v>311</v>
      </c>
      <c r="B95" s="139">
        <v>1</v>
      </c>
      <c r="C95" s="130">
        <f>D95+E95+F95</f>
        <v>35262</v>
      </c>
      <c r="D95" s="140">
        <v>13060</v>
      </c>
      <c r="E95" s="131"/>
      <c r="F95" s="132">
        <f>D95*170%</f>
        <v>22202</v>
      </c>
      <c r="G95" s="133">
        <f>C95*B95*12</f>
        <v>423144</v>
      </c>
    </row>
    <row r="96" spans="1:9" ht="15.75" x14ac:dyDescent="0.25">
      <c r="A96" s="141" t="s">
        <v>312</v>
      </c>
      <c r="B96" s="142">
        <f>SUM(B86:B95)</f>
        <v>18</v>
      </c>
      <c r="C96" s="146">
        <f>SUM(C86:C95)</f>
        <v>354032</v>
      </c>
      <c r="D96" s="146">
        <f>SUM(D86:D95)</f>
        <v>128970</v>
      </c>
      <c r="E96" s="146">
        <f t="shared" ref="E96" si="20">SUM(E86:E93)</f>
        <v>0</v>
      </c>
      <c r="F96" s="149">
        <f>SUM(F86:F95)</f>
        <v>225062</v>
      </c>
      <c r="G96" s="143">
        <f>SUM(G86:G95)</f>
        <v>7657500</v>
      </c>
    </row>
    <row r="97" spans="1:7" ht="15.75" customHeight="1" x14ac:dyDescent="0.25">
      <c r="A97" s="263" t="s">
        <v>323</v>
      </c>
      <c r="B97" s="264"/>
      <c r="C97" s="264"/>
      <c r="D97" s="264"/>
      <c r="E97" s="264"/>
      <c r="F97" s="264"/>
      <c r="G97" s="265"/>
    </row>
    <row r="98" spans="1:7" ht="15.75" x14ac:dyDescent="0.25">
      <c r="A98" s="128" t="s">
        <v>359</v>
      </c>
      <c r="B98" s="129">
        <v>1</v>
      </c>
      <c r="C98" s="130">
        <f t="shared" ref="C98" si="21">D98+E98+F98</f>
        <v>41010</v>
      </c>
      <c r="D98" s="130">
        <v>13670</v>
      </c>
      <c r="E98" s="131"/>
      <c r="F98" s="132">
        <f>D98*200%</f>
        <v>27340</v>
      </c>
      <c r="G98" s="133">
        <f>C98*B98*12</f>
        <v>492120</v>
      </c>
    </row>
    <row r="99" spans="1:7" ht="15.75" x14ac:dyDescent="0.25">
      <c r="A99" s="145" t="s">
        <v>324</v>
      </c>
      <c r="B99" s="135">
        <v>3</v>
      </c>
      <c r="C99" s="136">
        <f>D99+E99+F99</f>
        <v>27472.5</v>
      </c>
      <c r="D99" s="136">
        <v>12210</v>
      </c>
      <c r="E99" s="131"/>
      <c r="F99" s="132">
        <f>D99*125%</f>
        <v>15262.5</v>
      </c>
      <c r="G99" s="133">
        <f>C99*B99*12</f>
        <v>989010</v>
      </c>
    </row>
    <row r="100" spans="1:7" ht="15.75" x14ac:dyDescent="0.25">
      <c r="A100" s="145" t="s">
        <v>325</v>
      </c>
      <c r="B100" s="135">
        <v>2</v>
      </c>
      <c r="C100" s="136">
        <f>D100+E100+F100</f>
        <v>28083</v>
      </c>
      <c r="D100" s="136">
        <v>12210</v>
      </c>
      <c r="E100" s="131"/>
      <c r="F100" s="132">
        <f>D100*130%</f>
        <v>15873</v>
      </c>
      <c r="G100" s="133">
        <f t="shared" ref="G100" si="22">C100*B100*12</f>
        <v>673992</v>
      </c>
    </row>
    <row r="101" spans="1:7" ht="15.75" x14ac:dyDescent="0.25">
      <c r="A101" s="141" t="s">
        <v>312</v>
      </c>
      <c r="B101" s="142">
        <f t="shared" ref="B101:G101" si="23">SUM(B98:B100)</f>
        <v>6</v>
      </c>
      <c r="C101" s="146">
        <f t="shared" si="23"/>
        <v>96565.5</v>
      </c>
      <c r="D101" s="147">
        <f t="shared" si="23"/>
        <v>38090</v>
      </c>
      <c r="E101" s="147">
        <f t="shared" si="23"/>
        <v>0</v>
      </c>
      <c r="F101" s="148">
        <f t="shared" si="23"/>
        <v>58475.5</v>
      </c>
      <c r="G101" s="143">
        <f t="shared" si="23"/>
        <v>2155122</v>
      </c>
    </row>
    <row r="102" spans="1:7" ht="15.75" x14ac:dyDescent="0.25">
      <c r="A102" s="285" t="s">
        <v>326</v>
      </c>
      <c r="B102" s="286"/>
      <c r="C102" s="286"/>
      <c r="D102" s="286"/>
      <c r="E102" s="286"/>
      <c r="F102" s="286"/>
      <c r="G102" s="287"/>
    </row>
    <row r="103" spans="1:7" ht="31.5" x14ac:dyDescent="0.25">
      <c r="A103" s="134" t="s">
        <v>337</v>
      </c>
      <c r="B103" s="135">
        <v>1</v>
      </c>
      <c r="C103" s="136">
        <f t="shared" ref="C103:C107" si="24">D103+E103+F103</f>
        <v>41910</v>
      </c>
      <c r="D103" s="136">
        <v>13970</v>
      </c>
      <c r="E103" s="131"/>
      <c r="F103" s="132">
        <f>D103*200%</f>
        <v>27940</v>
      </c>
      <c r="G103" s="133">
        <f t="shared" ref="G103:G104" si="25">C103*B103*12</f>
        <v>502920</v>
      </c>
    </row>
    <row r="104" spans="1:7" ht="15.75" x14ac:dyDescent="0.25">
      <c r="A104" s="145" t="s">
        <v>335</v>
      </c>
      <c r="B104" s="135">
        <v>1</v>
      </c>
      <c r="C104" s="136">
        <f t="shared" si="24"/>
        <v>26862</v>
      </c>
      <c r="D104" s="136">
        <v>12210</v>
      </c>
      <c r="E104" s="131"/>
      <c r="F104" s="132">
        <f>D104*120%</f>
        <v>14652</v>
      </c>
      <c r="G104" s="133">
        <f t="shared" si="25"/>
        <v>322344</v>
      </c>
    </row>
    <row r="105" spans="1:7" ht="31.5" x14ac:dyDescent="0.25">
      <c r="A105" s="145" t="s">
        <v>336</v>
      </c>
      <c r="B105" s="135">
        <v>2</v>
      </c>
      <c r="C105" s="136">
        <f t="shared" si="24"/>
        <v>23694</v>
      </c>
      <c r="D105" s="136">
        <v>10770</v>
      </c>
      <c r="E105" s="131"/>
      <c r="F105" s="132">
        <f>D105*120%</f>
        <v>12924</v>
      </c>
      <c r="G105" s="133">
        <f>C105*B105*12</f>
        <v>568656</v>
      </c>
    </row>
    <row r="106" spans="1:7" ht="15.75" x14ac:dyDescent="0.25">
      <c r="A106" s="145" t="s">
        <v>327</v>
      </c>
      <c r="B106" s="135">
        <v>2</v>
      </c>
      <c r="C106" s="136">
        <f t="shared" si="24"/>
        <v>23694</v>
      </c>
      <c r="D106" s="136">
        <v>10770</v>
      </c>
      <c r="E106" s="131"/>
      <c r="F106" s="132">
        <f>D106*120%</f>
        <v>12924</v>
      </c>
      <c r="G106" s="133">
        <f t="shared" ref="G106:G107" si="26">C106*B106*12</f>
        <v>568656</v>
      </c>
    </row>
    <row r="107" spans="1:7" ht="15.75" x14ac:dyDescent="0.25">
      <c r="A107" s="145" t="s">
        <v>328</v>
      </c>
      <c r="B107" s="135">
        <v>8</v>
      </c>
      <c r="C107" s="136">
        <f t="shared" si="24"/>
        <v>21275</v>
      </c>
      <c r="D107" s="136">
        <v>9250</v>
      </c>
      <c r="E107" s="131"/>
      <c r="F107" s="132">
        <f>D107*130%</f>
        <v>12025</v>
      </c>
      <c r="G107" s="133">
        <f t="shared" si="26"/>
        <v>2042400</v>
      </c>
    </row>
    <row r="108" spans="1:7" ht="31.5" x14ac:dyDescent="0.25">
      <c r="A108" s="134" t="s">
        <v>329</v>
      </c>
      <c r="B108" s="135">
        <v>2</v>
      </c>
      <c r="C108" s="136">
        <f>D108+E108+F108</f>
        <v>21275</v>
      </c>
      <c r="D108" s="136">
        <v>9250</v>
      </c>
      <c r="E108" s="131"/>
      <c r="F108" s="132">
        <f>D108*130%</f>
        <v>12025</v>
      </c>
      <c r="G108" s="133">
        <f>C108*B108*12</f>
        <v>510600</v>
      </c>
    </row>
    <row r="109" spans="1:7" ht="15.75" x14ac:dyDescent="0.25">
      <c r="A109" s="150" t="s">
        <v>330</v>
      </c>
      <c r="B109" s="151">
        <v>1</v>
      </c>
      <c r="C109" s="136">
        <f>D109+E109+F109</f>
        <v>28489.920000000002</v>
      </c>
      <c r="D109" s="152">
        <v>11240</v>
      </c>
      <c r="E109" s="131"/>
      <c r="F109" s="132">
        <f>D109*150%+446.75-23.245-33.585</f>
        <v>17249.920000000002</v>
      </c>
      <c r="G109" s="133">
        <f>C109*B109*12</f>
        <v>341879.04000000004</v>
      </c>
    </row>
    <row r="110" spans="1:7" ht="16.5" thickBot="1" x14ac:dyDescent="0.3">
      <c r="A110" s="153" t="s">
        <v>312</v>
      </c>
      <c r="B110" s="154">
        <f>SUM(B103:B109)</f>
        <v>17</v>
      </c>
      <c r="C110" s="155">
        <f>SUM(C103:C109)</f>
        <v>187199.92</v>
      </c>
      <c r="D110" s="155">
        <f>SUM(D103:D109)</f>
        <v>77460</v>
      </c>
      <c r="E110" s="155"/>
      <c r="F110" s="156">
        <f>SUM(F103:F109)</f>
        <v>109739.92</v>
      </c>
      <c r="G110" s="157">
        <f>SUM(G103:G109)</f>
        <v>4857455.04</v>
      </c>
    </row>
    <row r="111" spans="1:7" ht="16.5" thickBot="1" x14ac:dyDescent="0.3">
      <c r="A111" s="158" t="s">
        <v>366</v>
      </c>
      <c r="B111" s="159">
        <f>B110+B101+B96+B84+B77</f>
        <v>64</v>
      </c>
      <c r="C111" s="160">
        <f>C110+C101+C96+C84+C77</f>
        <v>995066.42</v>
      </c>
      <c r="D111" s="160">
        <f>D110+D101+D96+D84+D77</f>
        <v>379650</v>
      </c>
      <c r="E111" s="161"/>
      <c r="F111" s="160">
        <f>F110+F101+F96+F84+F77</f>
        <v>615416.41999999993</v>
      </c>
      <c r="G111" s="160">
        <f>G110+G101+G96+G84+G77</f>
        <v>22222145.039999999</v>
      </c>
    </row>
    <row r="112" spans="1:7" ht="16.5" thickBot="1" x14ac:dyDescent="0.3">
      <c r="A112" s="158" t="s">
        <v>367</v>
      </c>
      <c r="B112" s="159">
        <f>B111+B69</f>
        <v>131</v>
      </c>
      <c r="C112" s="161">
        <f>C111+C69</f>
        <v>2129742.42</v>
      </c>
      <c r="D112" s="161">
        <f>D111+D69</f>
        <v>804064</v>
      </c>
      <c r="E112" s="161"/>
      <c r="F112" s="161">
        <f>F111+F69</f>
        <v>1325678.42</v>
      </c>
      <c r="G112" s="161">
        <f>G111+G69</f>
        <v>45930485.039999999</v>
      </c>
    </row>
    <row r="113" spans="1:7" ht="18.75" x14ac:dyDescent="0.25">
      <c r="A113" s="187"/>
      <c r="B113" s="187"/>
      <c r="C113" s="187"/>
      <c r="D113" s="187"/>
      <c r="E113" s="187"/>
      <c r="F113" s="187"/>
      <c r="G113" s="187"/>
    </row>
    <row r="114" spans="1:7" ht="18.75" x14ac:dyDescent="0.3">
      <c r="A114" s="9" t="s">
        <v>145</v>
      </c>
      <c r="B114" s="10">
        <v>111.119</v>
      </c>
    </row>
    <row r="115" spans="1:7" x14ac:dyDescent="0.25">
      <c r="A115" s="11"/>
    </row>
    <row r="116" spans="1:7" ht="15" customHeight="1" x14ac:dyDescent="0.25">
      <c r="A116" s="327" t="s">
        <v>84</v>
      </c>
      <c r="B116" s="301" t="s">
        <v>244</v>
      </c>
      <c r="C116" s="302"/>
      <c r="D116" s="301" t="s">
        <v>185</v>
      </c>
      <c r="E116" s="302"/>
      <c r="F116" s="301" t="s">
        <v>85</v>
      </c>
      <c r="G116" s="302"/>
    </row>
    <row r="117" spans="1:7" ht="36.75" customHeight="1" x14ac:dyDescent="0.25">
      <c r="A117" s="328"/>
      <c r="B117" s="303"/>
      <c r="C117" s="304"/>
      <c r="D117" s="303"/>
      <c r="E117" s="304"/>
      <c r="F117" s="303"/>
      <c r="G117" s="304"/>
    </row>
    <row r="118" spans="1:7" ht="18.75" x14ac:dyDescent="0.25">
      <c r="A118" s="188">
        <v>1</v>
      </c>
      <c r="B118" s="250">
        <v>2</v>
      </c>
      <c r="C118" s="251"/>
      <c r="D118" s="250">
        <v>3</v>
      </c>
      <c r="E118" s="251"/>
      <c r="F118" s="250">
        <v>4</v>
      </c>
      <c r="G118" s="251"/>
    </row>
    <row r="119" spans="1:7" ht="18.75" x14ac:dyDescent="0.25">
      <c r="A119" s="13">
        <v>131</v>
      </c>
      <c r="B119" s="244">
        <f>'гос.задание на 2023-2024 год '!D26+'гос.задание на 2023-2024 год '!D28+'гос.задание на 2023-2024 год '!D65</f>
        <v>59786391.549999997</v>
      </c>
      <c r="C119" s="245"/>
      <c r="D119" s="244">
        <f>'гос.задание на 2023-2024 год '!E26+'гос.задание на 2023-2024 год '!E65</f>
        <v>45930485.039999999</v>
      </c>
      <c r="E119" s="245"/>
      <c r="F119" s="244">
        <f>B119-D119</f>
        <v>13855906.509999998</v>
      </c>
      <c r="G119" s="245"/>
    </row>
    <row r="120" spans="1:7" ht="18.75" x14ac:dyDescent="0.25">
      <c r="A120" s="8"/>
    </row>
    <row r="121" spans="1:7" ht="43.5" customHeight="1" x14ac:dyDescent="0.25">
      <c r="A121" s="271" t="s">
        <v>203</v>
      </c>
      <c r="B121" s="271"/>
      <c r="C121" s="271"/>
      <c r="D121" s="271"/>
      <c r="E121" s="271"/>
      <c r="F121" s="271"/>
      <c r="G121" s="271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188" t="s">
        <v>86</v>
      </c>
      <c r="B125" s="188" t="s">
        <v>87</v>
      </c>
      <c r="C125" s="250" t="s">
        <v>88</v>
      </c>
      <c r="D125" s="251"/>
      <c r="E125" s="188" t="s">
        <v>89</v>
      </c>
      <c r="F125" s="250" t="s">
        <v>90</v>
      </c>
      <c r="G125" s="251"/>
    </row>
    <row r="126" spans="1:7" ht="18.75" x14ac:dyDescent="0.25">
      <c r="A126" s="188">
        <v>1</v>
      </c>
      <c r="B126" s="188">
        <v>2</v>
      </c>
      <c r="C126" s="250">
        <v>3</v>
      </c>
      <c r="D126" s="251"/>
      <c r="E126" s="188">
        <v>4</v>
      </c>
      <c r="F126" s="250">
        <v>5</v>
      </c>
      <c r="G126" s="251"/>
    </row>
    <row r="127" spans="1:7" ht="18.75" x14ac:dyDescent="0.25">
      <c r="A127" s="13" t="s">
        <v>91</v>
      </c>
      <c r="B127" s="188">
        <v>10</v>
      </c>
      <c r="C127" s="244">
        <v>100</v>
      </c>
      <c r="D127" s="245"/>
      <c r="E127" s="188">
        <v>8</v>
      </c>
      <c r="F127" s="244">
        <f>'гос.задание на 2023-2024 год '!D27</f>
        <v>8000</v>
      </c>
      <c r="G127" s="245"/>
    </row>
    <row r="128" spans="1:7" ht="18.75" x14ac:dyDescent="0.25">
      <c r="A128" s="8"/>
    </row>
    <row r="129" spans="1:7" ht="45" customHeight="1" x14ac:dyDescent="0.25">
      <c r="A129" s="271" t="s">
        <v>207</v>
      </c>
      <c r="B129" s="271"/>
      <c r="C129" s="271"/>
      <c r="D129" s="271"/>
      <c r="E129" s="271"/>
      <c r="F129" s="271"/>
      <c r="G129" s="271"/>
    </row>
    <row r="130" spans="1:7" ht="18.75" x14ac:dyDescent="0.25">
      <c r="A130" s="189"/>
      <c r="B130" s="189"/>
      <c r="C130" s="189"/>
      <c r="D130" s="189"/>
      <c r="E130" s="189"/>
      <c r="F130" s="189"/>
      <c r="G130" s="189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106" t="s">
        <v>86</v>
      </c>
      <c r="B133" s="270" t="s">
        <v>99</v>
      </c>
      <c r="C133" s="270"/>
      <c r="D133" s="270" t="s">
        <v>100</v>
      </c>
      <c r="E133" s="270"/>
      <c r="F133" s="270" t="s">
        <v>101</v>
      </c>
      <c r="G133" s="270"/>
    </row>
    <row r="134" spans="1:7" ht="18.75" x14ac:dyDescent="0.3">
      <c r="A134" s="106">
        <v>1</v>
      </c>
      <c r="B134" s="250">
        <v>2</v>
      </c>
      <c r="C134" s="251"/>
      <c r="D134" s="250">
        <v>3</v>
      </c>
      <c r="E134" s="251"/>
      <c r="F134" s="258">
        <v>4</v>
      </c>
      <c r="G134" s="259"/>
    </row>
    <row r="135" spans="1:7" ht="56.25" x14ac:dyDescent="0.25">
      <c r="A135" s="13" t="s">
        <v>102</v>
      </c>
      <c r="B135" s="250">
        <v>24</v>
      </c>
      <c r="C135" s="251"/>
      <c r="D135" s="250">
        <v>2083.33</v>
      </c>
      <c r="E135" s="251"/>
      <c r="F135" s="294">
        <f>'гос.задание на 2023-2024 год '!D65</f>
        <v>49999.92</v>
      </c>
      <c r="G135" s="295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71" t="s">
        <v>226</v>
      </c>
      <c r="B137" s="271"/>
      <c r="C137" s="271"/>
      <c r="D137" s="271"/>
      <c r="E137" s="271"/>
      <c r="F137" s="271"/>
      <c r="G137" s="271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106" t="s">
        <v>86</v>
      </c>
      <c r="B140" s="270" t="s">
        <v>109</v>
      </c>
      <c r="C140" s="270"/>
      <c r="D140" s="270" t="s">
        <v>110</v>
      </c>
      <c r="E140" s="270"/>
      <c r="F140" s="270" t="s">
        <v>111</v>
      </c>
      <c r="G140" s="270"/>
    </row>
    <row r="141" spans="1:7" ht="18" customHeight="1" x14ac:dyDescent="0.25">
      <c r="A141" s="106">
        <v>1</v>
      </c>
      <c r="B141" s="250">
        <v>2</v>
      </c>
      <c r="C141" s="251"/>
      <c r="D141" s="278">
        <v>3</v>
      </c>
      <c r="E141" s="279"/>
      <c r="F141" s="278">
        <v>4</v>
      </c>
      <c r="G141" s="279"/>
    </row>
    <row r="142" spans="1:7" ht="18.75" x14ac:dyDescent="0.25">
      <c r="A142" s="13" t="s">
        <v>112</v>
      </c>
      <c r="B142" s="244">
        <v>811739347.27999997</v>
      </c>
      <c r="C142" s="245"/>
      <c r="D142" s="244">
        <v>2.2000000000000002</v>
      </c>
      <c r="E142" s="245"/>
      <c r="F142" s="280">
        <f>'гос.задание на 2023-2024 год '!D71</f>
        <v>19861943.379999999</v>
      </c>
      <c r="G142" s="281"/>
    </row>
    <row r="143" spans="1:7" ht="18.75" x14ac:dyDescent="0.25">
      <c r="A143" s="13" t="s">
        <v>113</v>
      </c>
      <c r="B143" s="244">
        <v>133578515.93000001</v>
      </c>
      <c r="C143" s="245"/>
      <c r="D143" s="244">
        <v>1.5</v>
      </c>
      <c r="E143" s="245"/>
      <c r="F143" s="282"/>
      <c r="G143" s="283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106" t="s">
        <v>86</v>
      </c>
      <c r="B147" s="270" t="s">
        <v>109</v>
      </c>
      <c r="C147" s="270"/>
      <c r="D147" s="270" t="s">
        <v>110</v>
      </c>
      <c r="E147" s="270"/>
      <c r="F147" s="270" t="s">
        <v>115</v>
      </c>
      <c r="G147" s="270"/>
    </row>
    <row r="148" spans="1:7" ht="18" customHeight="1" x14ac:dyDescent="0.3">
      <c r="A148" s="106">
        <v>1</v>
      </c>
      <c r="B148" s="250">
        <v>2</v>
      </c>
      <c r="C148" s="251"/>
      <c r="D148" s="250">
        <v>3</v>
      </c>
      <c r="E148" s="251"/>
      <c r="F148" s="258">
        <v>4</v>
      </c>
      <c r="G148" s="259"/>
    </row>
    <row r="149" spans="1:7" ht="18.75" x14ac:dyDescent="0.25">
      <c r="A149" s="13" t="s">
        <v>116</v>
      </c>
      <c r="B149" s="250" t="s">
        <v>117</v>
      </c>
      <c r="C149" s="251"/>
      <c r="D149" s="250" t="s">
        <v>117</v>
      </c>
      <c r="E149" s="251"/>
      <c r="F149" s="294">
        <f>'гос.задание на 2023-2024 год '!D72</f>
        <v>51650</v>
      </c>
      <c r="G149" s="296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106" t="s">
        <v>86</v>
      </c>
      <c r="B153" s="270" t="s">
        <v>109</v>
      </c>
      <c r="C153" s="270"/>
      <c r="D153" s="270" t="s">
        <v>110</v>
      </c>
      <c r="E153" s="270"/>
      <c r="F153" s="270" t="s">
        <v>115</v>
      </c>
      <c r="G153" s="270"/>
    </row>
    <row r="154" spans="1:7" ht="18.75" x14ac:dyDescent="0.3">
      <c r="A154" s="106">
        <v>1</v>
      </c>
      <c r="B154" s="250">
        <v>2</v>
      </c>
      <c r="C154" s="251"/>
      <c r="D154" s="250">
        <v>3</v>
      </c>
      <c r="E154" s="251"/>
      <c r="F154" s="258">
        <v>4</v>
      </c>
      <c r="G154" s="259"/>
    </row>
    <row r="155" spans="1:7" ht="37.5" x14ac:dyDescent="0.25">
      <c r="A155" s="13" t="s">
        <v>155</v>
      </c>
      <c r="B155" s="250" t="s">
        <v>117</v>
      </c>
      <c r="C155" s="251"/>
      <c r="D155" s="250" t="s">
        <v>117</v>
      </c>
      <c r="E155" s="251"/>
      <c r="F155" s="294">
        <f>'гос.задание на 2023-2024 год '!D73</f>
        <v>1300</v>
      </c>
      <c r="G155" s="295"/>
    </row>
    <row r="156" spans="1:7" ht="18.75" x14ac:dyDescent="0.25">
      <c r="A156" s="8"/>
    </row>
    <row r="157" spans="1:7" ht="18.75" x14ac:dyDescent="0.25">
      <c r="A157" s="269" t="s">
        <v>216</v>
      </c>
      <c r="B157" s="269"/>
      <c r="C157" s="269"/>
      <c r="D157" s="269"/>
      <c r="E157" s="269"/>
      <c r="F157" s="269"/>
      <c r="G157" s="269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169" t="s">
        <v>86</v>
      </c>
      <c r="B161" s="270" t="s">
        <v>121</v>
      </c>
      <c r="C161" s="270"/>
      <c r="D161" s="270" t="s">
        <v>122</v>
      </c>
      <c r="E161" s="270"/>
      <c r="F161" s="270" t="s">
        <v>186</v>
      </c>
      <c r="G161" s="270"/>
    </row>
    <row r="162" spans="1:7" ht="18.75" x14ac:dyDescent="0.25">
      <c r="A162" s="169">
        <v>1</v>
      </c>
      <c r="B162" s="250">
        <v>2</v>
      </c>
      <c r="C162" s="251"/>
      <c r="D162" s="250">
        <v>3</v>
      </c>
      <c r="E162" s="251"/>
      <c r="F162" s="278">
        <v>4</v>
      </c>
      <c r="G162" s="279"/>
    </row>
    <row r="163" spans="1:7" ht="37.5" x14ac:dyDescent="0.25">
      <c r="A163" s="13" t="s">
        <v>373</v>
      </c>
      <c r="B163" s="250">
        <v>7</v>
      </c>
      <c r="C163" s="251"/>
      <c r="D163" s="244">
        <v>1000</v>
      </c>
      <c r="E163" s="245"/>
      <c r="F163" s="244">
        <f>B163*D163*12</f>
        <v>84000</v>
      </c>
      <c r="G163" s="245"/>
    </row>
    <row r="164" spans="1:7" ht="18.75" x14ac:dyDescent="0.25">
      <c r="A164" s="13" t="s">
        <v>374</v>
      </c>
      <c r="B164" s="250">
        <v>6</v>
      </c>
      <c r="C164" s="251"/>
      <c r="D164" s="244">
        <v>1000</v>
      </c>
      <c r="E164" s="245"/>
      <c r="F164" s="244">
        <f>B164*D164*12</f>
        <v>72000</v>
      </c>
      <c r="G164" s="245"/>
    </row>
    <row r="165" spans="1:7" ht="18.75" x14ac:dyDescent="0.25">
      <c r="A165" s="13" t="s">
        <v>431</v>
      </c>
      <c r="B165" s="250" t="s">
        <v>117</v>
      </c>
      <c r="C165" s="251"/>
      <c r="D165" s="250" t="s">
        <v>117</v>
      </c>
      <c r="E165" s="251"/>
      <c r="F165" s="244">
        <v>2000</v>
      </c>
      <c r="G165" s="245"/>
    </row>
    <row r="166" spans="1:7" ht="18.75" customHeight="1" x14ac:dyDescent="0.25">
      <c r="A166" s="13" t="s">
        <v>427</v>
      </c>
      <c r="B166" s="250" t="s">
        <v>117</v>
      </c>
      <c r="C166" s="251"/>
      <c r="D166" s="250" t="s">
        <v>117</v>
      </c>
      <c r="E166" s="251"/>
      <c r="F166" s="244">
        <v>2040</v>
      </c>
      <c r="G166" s="245"/>
    </row>
    <row r="167" spans="1:7" ht="18.75" customHeight="1" x14ac:dyDescent="0.25">
      <c r="A167" s="13" t="s">
        <v>375</v>
      </c>
      <c r="B167" s="250" t="s">
        <v>274</v>
      </c>
      <c r="C167" s="251"/>
      <c r="D167" s="244">
        <v>92350</v>
      </c>
      <c r="E167" s="245"/>
      <c r="F167" s="244">
        <f>D167*12</f>
        <v>1108200</v>
      </c>
      <c r="G167" s="245"/>
    </row>
    <row r="168" spans="1:7" ht="18.75" x14ac:dyDescent="0.25">
      <c r="A168" s="13" t="s">
        <v>376</v>
      </c>
      <c r="B168" s="250" t="s">
        <v>274</v>
      </c>
      <c r="C168" s="251"/>
      <c r="D168" s="244">
        <v>92450</v>
      </c>
      <c r="E168" s="245"/>
      <c r="F168" s="244">
        <f>D168*12</f>
        <v>1109400</v>
      </c>
      <c r="G168" s="245"/>
    </row>
    <row r="169" spans="1:7" ht="18.75" x14ac:dyDescent="0.25">
      <c r="A169" s="13" t="s">
        <v>345</v>
      </c>
      <c r="B169" s="278"/>
      <c r="C169" s="279"/>
      <c r="D169" s="278"/>
      <c r="E169" s="279"/>
      <c r="F169" s="244">
        <f>'гос.задание на 2023-2024 год '!D34</f>
        <v>2377640</v>
      </c>
      <c r="G169" s="245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69" t="s">
        <v>218</v>
      </c>
      <c r="B171" s="269"/>
      <c r="C171" s="269"/>
      <c r="D171" s="269"/>
      <c r="E171" s="269"/>
      <c r="F171" s="269"/>
      <c r="G171" s="269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106" t="s">
        <v>86</v>
      </c>
      <c r="B175" s="270" t="s">
        <v>126</v>
      </c>
      <c r="C175" s="270"/>
      <c r="D175" s="270" t="s">
        <v>127</v>
      </c>
      <c r="E175" s="270"/>
      <c r="F175" s="270" t="s">
        <v>94</v>
      </c>
      <c r="G175" s="270"/>
    </row>
    <row r="176" spans="1:7" ht="18.75" x14ac:dyDescent="0.25">
      <c r="A176" s="106">
        <v>1</v>
      </c>
      <c r="B176" s="250">
        <v>2</v>
      </c>
      <c r="C176" s="251"/>
      <c r="D176" s="250">
        <v>3</v>
      </c>
      <c r="E176" s="251"/>
      <c r="F176" s="250">
        <v>4</v>
      </c>
      <c r="G176" s="251"/>
    </row>
    <row r="177" spans="1:7" ht="37.5" x14ac:dyDescent="0.25">
      <c r="A177" s="13" t="s">
        <v>18</v>
      </c>
      <c r="B177" s="250" t="s">
        <v>117</v>
      </c>
      <c r="C177" s="251"/>
      <c r="D177" s="250" t="s">
        <v>117</v>
      </c>
      <c r="E177" s="251"/>
      <c r="F177" s="244">
        <f>'гос.задание на 2023-2024 год '!D41</f>
        <v>0</v>
      </c>
      <c r="G177" s="245"/>
    </row>
    <row r="178" spans="1:7" ht="37.5" x14ac:dyDescent="0.25">
      <c r="A178" s="13" t="s">
        <v>393</v>
      </c>
      <c r="B178" s="250" t="s">
        <v>395</v>
      </c>
      <c r="C178" s="251"/>
      <c r="D178" s="250">
        <v>6119.41</v>
      </c>
      <c r="E178" s="251"/>
      <c r="F178" s="280">
        <f>'гос.задание на 2023-2024 год '!D43</f>
        <v>3626465.69</v>
      </c>
      <c r="G178" s="281"/>
    </row>
    <row r="179" spans="1:7" ht="37.5" x14ac:dyDescent="0.25">
      <c r="A179" s="13" t="s">
        <v>394</v>
      </c>
      <c r="B179" s="250" t="s">
        <v>428</v>
      </c>
      <c r="C179" s="251"/>
      <c r="D179" s="250">
        <v>7.34</v>
      </c>
      <c r="E179" s="251"/>
      <c r="F179" s="282"/>
      <c r="G179" s="283"/>
    </row>
    <row r="180" spans="1:7" ht="56.25" x14ac:dyDescent="0.25">
      <c r="A180" s="13" t="s">
        <v>377</v>
      </c>
      <c r="B180" s="250" t="s">
        <v>396</v>
      </c>
      <c r="C180" s="251"/>
      <c r="D180" s="250">
        <v>5.46</v>
      </c>
      <c r="E180" s="251"/>
      <c r="F180" s="280">
        <f>'гос.задание на 2023-2024 год '!D45</f>
        <v>25316126.350000001</v>
      </c>
      <c r="G180" s="281"/>
    </row>
    <row r="181" spans="1:7" ht="56.25" x14ac:dyDescent="0.25">
      <c r="A181" s="13" t="s">
        <v>378</v>
      </c>
      <c r="B181" s="250" t="s">
        <v>429</v>
      </c>
      <c r="C181" s="251"/>
      <c r="D181" s="250">
        <v>1127.17</v>
      </c>
      <c r="E181" s="251"/>
      <c r="F181" s="282"/>
      <c r="G181" s="283"/>
    </row>
    <row r="182" spans="1:7" ht="56.25" x14ac:dyDescent="0.25">
      <c r="A182" s="13" t="s">
        <v>380</v>
      </c>
      <c r="B182" s="250" t="s">
        <v>397</v>
      </c>
      <c r="C182" s="251"/>
      <c r="D182" s="250">
        <v>64.430000000000007</v>
      </c>
      <c r="E182" s="251"/>
      <c r="F182" s="280">
        <f>'гос.задание на 2023-2024 год '!D46</f>
        <v>6574816.25</v>
      </c>
      <c r="G182" s="281"/>
    </row>
    <row r="183" spans="1:7" ht="56.25" x14ac:dyDescent="0.25">
      <c r="A183" s="13" t="s">
        <v>381</v>
      </c>
      <c r="B183" s="250" t="s">
        <v>430</v>
      </c>
      <c r="C183" s="251"/>
      <c r="D183" s="250">
        <v>100.33</v>
      </c>
      <c r="E183" s="251"/>
      <c r="F183" s="282"/>
      <c r="G183" s="283"/>
    </row>
    <row r="184" spans="1:7" ht="37.5" x14ac:dyDescent="0.25">
      <c r="A184" s="24" t="s">
        <v>382</v>
      </c>
      <c r="B184" s="250" t="s">
        <v>398</v>
      </c>
      <c r="C184" s="251"/>
      <c r="D184" s="250">
        <v>702.49</v>
      </c>
      <c r="E184" s="251"/>
      <c r="F184" s="280">
        <f>'гос.задание на 2023-2024 год '!D47</f>
        <v>596554.87</v>
      </c>
      <c r="G184" s="281"/>
    </row>
    <row r="185" spans="1:7" ht="37.5" x14ac:dyDescent="0.25">
      <c r="A185" s="24" t="s">
        <v>383</v>
      </c>
      <c r="B185" s="250" t="s">
        <v>419</v>
      </c>
      <c r="C185" s="251"/>
      <c r="D185" s="250">
        <v>668.99</v>
      </c>
      <c r="E185" s="251"/>
      <c r="F185" s="282"/>
      <c r="G185" s="283"/>
    </row>
    <row r="186" spans="1:7" ht="18.75" x14ac:dyDescent="0.25">
      <c r="A186" s="24" t="s">
        <v>146</v>
      </c>
      <c r="B186" s="250"/>
      <c r="C186" s="251"/>
      <c r="D186" s="250"/>
      <c r="E186" s="251"/>
      <c r="F186" s="244">
        <f>F177+F178+F180+F182+F184</f>
        <v>36113963.160000004</v>
      </c>
      <c r="G186" s="245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72" t="s">
        <v>220</v>
      </c>
      <c r="B188" s="272"/>
      <c r="C188" s="272"/>
      <c r="D188" s="272"/>
      <c r="E188" s="272"/>
      <c r="F188" s="272"/>
      <c r="G188" s="272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0" t="s">
        <v>86</v>
      </c>
      <c r="B192" s="277"/>
      <c r="C192" s="251"/>
      <c r="D192" s="270" t="s">
        <v>131</v>
      </c>
      <c r="E192" s="270"/>
      <c r="F192" s="270" t="s">
        <v>132</v>
      </c>
      <c r="G192" s="270"/>
    </row>
    <row r="193" spans="1:7" ht="18.75" x14ac:dyDescent="0.3">
      <c r="A193" s="250">
        <v>1</v>
      </c>
      <c r="B193" s="277"/>
      <c r="C193" s="251"/>
      <c r="D193" s="258">
        <v>2</v>
      </c>
      <c r="E193" s="259"/>
      <c r="F193" s="258">
        <v>3</v>
      </c>
      <c r="G193" s="259"/>
    </row>
    <row r="194" spans="1:7" ht="18.75" x14ac:dyDescent="0.3">
      <c r="A194" s="248" t="s">
        <v>384</v>
      </c>
      <c r="B194" s="260"/>
      <c r="C194" s="249"/>
      <c r="D194" s="258"/>
      <c r="E194" s="259"/>
      <c r="F194" s="252"/>
      <c r="G194" s="254"/>
    </row>
    <row r="195" spans="1:7" ht="18.75" customHeight="1" x14ac:dyDescent="0.3">
      <c r="A195" s="248" t="s">
        <v>275</v>
      </c>
      <c r="B195" s="260"/>
      <c r="C195" s="249"/>
      <c r="D195" s="258">
        <v>12</v>
      </c>
      <c r="E195" s="259"/>
      <c r="F195" s="252">
        <f>258945</f>
        <v>258945</v>
      </c>
      <c r="G195" s="254"/>
    </row>
    <row r="196" spans="1:7" ht="18.75" customHeight="1" x14ac:dyDescent="0.3">
      <c r="A196" s="248" t="s">
        <v>276</v>
      </c>
      <c r="B196" s="260"/>
      <c r="C196" s="249"/>
      <c r="D196" s="258">
        <v>12</v>
      </c>
      <c r="E196" s="259"/>
      <c r="F196" s="252">
        <f>34500*12</f>
        <v>414000</v>
      </c>
      <c r="G196" s="254"/>
    </row>
    <row r="197" spans="1:7" ht="18.75" customHeight="1" x14ac:dyDescent="0.3">
      <c r="A197" s="248" t="s">
        <v>277</v>
      </c>
      <c r="B197" s="260"/>
      <c r="C197" s="249"/>
      <c r="D197" s="258">
        <v>12</v>
      </c>
      <c r="E197" s="259"/>
      <c r="F197" s="252">
        <f>144400</f>
        <v>144400</v>
      </c>
      <c r="G197" s="254"/>
    </row>
    <row r="198" spans="1:7" ht="18.75" customHeight="1" x14ac:dyDescent="0.3">
      <c r="A198" s="248" t="s">
        <v>279</v>
      </c>
      <c r="B198" s="260"/>
      <c r="C198" s="249"/>
      <c r="D198" s="258">
        <v>12</v>
      </c>
      <c r="E198" s="259"/>
      <c r="F198" s="252">
        <f>265454.52</f>
        <v>265454.52</v>
      </c>
      <c r="G198" s="254"/>
    </row>
    <row r="199" spans="1:7" ht="18.75" x14ac:dyDescent="0.3">
      <c r="A199" s="248" t="s">
        <v>278</v>
      </c>
      <c r="B199" s="260"/>
      <c r="C199" s="249"/>
      <c r="D199" s="258">
        <v>7</v>
      </c>
      <c r="E199" s="259"/>
      <c r="F199" s="252">
        <f>69580</f>
        <v>69580</v>
      </c>
      <c r="G199" s="254"/>
    </row>
    <row r="200" spans="1:7" ht="18.75" customHeight="1" x14ac:dyDescent="0.3">
      <c r="A200" s="248" t="s">
        <v>280</v>
      </c>
      <c r="B200" s="260"/>
      <c r="C200" s="249"/>
      <c r="D200" s="258">
        <v>12</v>
      </c>
      <c r="E200" s="259"/>
      <c r="F200" s="252">
        <f>4457.75</f>
        <v>4457.75</v>
      </c>
      <c r="G200" s="254"/>
    </row>
    <row r="201" spans="1:7" ht="18.75" customHeight="1" x14ac:dyDescent="0.3">
      <c r="A201" s="248" t="s">
        <v>281</v>
      </c>
      <c r="B201" s="260"/>
      <c r="C201" s="249"/>
      <c r="D201" s="258">
        <v>12</v>
      </c>
      <c r="E201" s="259"/>
      <c r="F201" s="252">
        <f>18700</f>
        <v>18700</v>
      </c>
      <c r="G201" s="254"/>
    </row>
    <row r="202" spans="1:7" ht="38.25" customHeight="1" x14ac:dyDescent="0.3">
      <c r="A202" s="248" t="s">
        <v>282</v>
      </c>
      <c r="B202" s="260"/>
      <c r="C202" s="249"/>
      <c r="D202" s="258">
        <v>12</v>
      </c>
      <c r="E202" s="259"/>
      <c r="F202" s="252">
        <f>180000</f>
        <v>180000</v>
      </c>
      <c r="G202" s="254"/>
    </row>
    <row r="203" spans="1:7" ht="18.75" customHeight="1" x14ac:dyDescent="0.3">
      <c r="A203" s="248" t="s">
        <v>283</v>
      </c>
      <c r="B203" s="260"/>
      <c r="C203" s="249"/>
      <c r="D203" s="258">
        <v>12</v>
      </c>
      <c r="E203" s="259"/>
      <c r="F203" s="252">
        <f>330909.12</f>
        <v>330909.12</v>
      </c>
      <c r="G203" s="254"/>
    </row>
    <row r="204" spans="1:7" ht="18.75" customHeight="1" x14ac:dyDescent="0.3">
      <c r="A204" s="248" t="s">
        <v>284</v>
      </c>
      <c r="B204" s="260"/>
      <c r="C204" s="249"/>
      <c r="D204" s="258">
        <v>12</v>
      </c>
      <c r="E204" s="259"/>
      <c r="F204" s="252">
        <f>6000</f>
        <v>6000</v>
      </c>
      <c r="G204" s="254"/>
    </row>
    <row r="205" spans="1:7" ht="37.5" customHeight="1" x14ac:dyDescent="0.3">
      <c r="A205" s="248" t="s">
        <v>136</v>
      </c>
      <c r="B205" s="260"/>
      <c r="C205" s="249"/>
      <c r="D205" s="258">
        <v>2</v>
      </c>
      <c r="E205" s="259"/>
      <c r="F205" s="252">
        <v>50000</v>
      </c>
      <c r="G205" s="254"/>
    </row>
    <row r="206" spans="1:7" ht="18.75" customHeight="1" x14ac:dyDescent="0.3">
      <c r="A206" s="248" t="s">
        <v>285</v>
      </c>
      <c r="B206" s="260"/>
      <c r="C206" s="249"/>
      <c r="D206" s="258">
        <v>12</v>
      </c>
      <c r="E206" s="259"/>
      <c r="F206" s="252">
        <f>7200</f>
        <v>7200</v>
      </c>
      <c r="G206" s="254"/>
    </row>
    <row r="207" spans="1:7" ht="18.75" customHeight="1" x14ac:dyDescent="0.3">
      <c r="A207" s="248" t="s">
        <v>386</v>
      </c>
      <c r="B207" s="260"/>
      <c r="C207" s="249"/>
      <c r="D207" s="258">
        <v>12</v>
      </c>
      <c r="E207" s="259"/>
      <c r="F207" s="252">
        <v>95440</v>
      </c>
      <c r="G207" s="254"/>
    </row>
    <row r="208" spans="1:7" ht="18.75" customHeight="1" x14ac:dyDescent="0.3">
      <c r="A208" s="248" t="s">
        <v>387</v>
      </c>
      <c r="B208" s="260"/>
      <c r="C208" s="249"/>
      <c r="D208" s="258">
        <v>1</v>
      </c>
      <c r="E208" s="259"/>
      <c r="F208" s="252">
        <v>917800</v>
      </c>
      <c r="G208" s="254"/>
    </row>
    <row r="209" spans="1:7" ht="18.75" x14ac:dyDescent="0.3">
      <c r="A209" s="248" t="s">
        <v>291</v>
      </c>
      <c r="B209" s="260"/>
      <c r="C209" s="249"/>
      <c r="D209" s="258">
        <v>1</v>
      </c>
      <c r="E209" s="259"/>
      <c r="F209" s="252">
        <f>569060.67</f>
        <v>569060.67000000004</v>
      </c>
      <c r="G209" s="254"/>
    </row>
    <row r="210" spans="1:7" ht="18.75" customHeight="1" x14ac:dyDescent="0.3">
      <c r="A210" s="248" t="s">
        <v>286</v>
      </c>
      <c r="B210" s="260"/>
      <c r="C210" s="249"/>
      <c r="D210" s="258">
        <v>12</v>
      </c>
      <c r="E210" s="259"/>
      <c r="F210" s="252">
        <v>3922723.81</v>
      </c>
      <c r="G210" s="254"/>
    </row>
    <row r="211" spans="1:7" ht="18.75" customHeight="1" x14ac:dyDescent="0.3">
      <c r="A211" s="248" t="s">
        <v>287</v>
      </c>
      <c r="B211" s="260"/>
      <c r="C211" s="249"/>
      <c r="D211" s="258">
        <v>12</v>
      </c>
      <c r="E211" s="259"/>
      <c r="F211" s="252">
        <v>859297.46</v>
      </c>
      <c r="G211" s="254"/>
    </row>
    <row r="212" spans="1:7" ht="18.75" customHeight="1" x14ac:dyDescent="0.3">
      <c r="A212" s="248" t="s">
        <v>349</v>
      </c>
      <c r="B212" s="260"/>
      <c r="C212" s="249"/>
      <c r="D212" s="258">
        <v>12</v>
      </c>
      <c r="E212" s="259"/>
      <c r="F212" s="252">
        <v>7933758.6399999997</v>
      </c>
      <c r="G212" s="254"/>
    </row>
    <row r="213" spans="1:7" ht="18.75" customHeight="1" x14ac:dyDescent="0.3">
      <c r="A213" s="248" t="s">
        <v>350</v>
      </c>
      <c r="B213" s="260"/>
      <c r="C213" s="249"/>
      <c r="D213" s="258">
        <v>12</v>
      </c>
      <c r="E213" s="259"/>
      <c r="F213" s="252">
        <v>75000</v>
      </c>
      <c r="G213" s="254"/>
    </row>
    <row r="214" spans="1:7" ht="18.75" customHeight="1" x14ac:dyDescent="0.3">
      <c r="A214" s="248" t="s">
        <v>388</v>
      </c>
      <c r="B214" s="260"/>
      <c r="C214" s="249"/>
      <c r="D214" s="258">
        <v>12</v>
      </c>
      <c r="E214" s="259"/>
      <c r="F214" s="252">
        <v>1314000</v>
      </c>
      <c r="G214" s="254"/>
    </row>
    <row r="215" spans="1:7" ht="18.75" x14ac:dyDescent="0.3">
      <c r="A215" s="248" t="s">
        <v>288</v>
      </c>
      <c r="B215" s="260"/>
      <c r="C215" s="249"/>
      <c r="D215" s="258">
        <v>12</v>
      </c>
      <c r="E215" s="259"/>
      <c r="F215" s="252">
        <v>700</v>
      </c>
      <c r="G215" s="254"/>
    </row>
    <row r="216" spans="1:7" ht="18.75" customHeight="1" x14ac:dyDescent="0.3">
      <c r="A216" s="248" t="s">
        <v>289</v>
      </c>
      <c r="B216" s="260"/>
      <c r="C216" s="249"/>
      <c r="D216" s="258">
        <v>5</v>
      </c>
      <c r="E216" s="259"/>
      <c r="F216" s="252">
        <f>400000</f>
        <v>400000</v>
      </c>
      <c r="G216" s="254"/>
    </row>
    <row r="217" spans="1:7" ht="18.75" x14ac:dyDescent="0.3">
      <c r="A217" s="248" t="s">
        <v>290</v>
      </c>
      <c r="B217" s="260"/>
      <c r="C217" s="249"/>
      <c r="D217" s="258">
        <v>1</v>
      </c>
      <c r="E217" s="259"/>
      <c r="F217" s="252">
        <v>2609404.16</v>
      </c>
      <c r="G217" s="254"/>
    </row>
    <row r="218" spans="1:7" ht="18.75" customHeight="1" x14ac:dyDescent="0.3">
      <c r="A218" s="248" t="s">
        <v>385</v>
      </c>
      <c r="B218" s="260"/>
      <c r="C218" s="249"/>
      <c r="D218" s="258"/>
      <c r="E218" s="259"/>
      <c r="F218" s="252"/>
      <c r="G218" s="254"/>
    </row>
    <row r="219" spans="1:7" ht="18.75" customHeight="1" x14ac:dyDescent="0.3">
      <c r="A219" s="248" t="s">
        <v>401</v>
      </c>
      <c r="B219" s="260"/>
      <c r="C219" s="249"/>
      <c r="D219" s="258">
        <v>12</v>
      </c>
      <c r="E219" s="259"/>
      <c r="F219" s="252">
        <v>644544</v>
      </c>
      <c r="G219" s="254"/>
    </row>
    <row r="220" spans="1:7" ht="18.75" customHeight="1" x14ac:dyDescent="0.3">
      <c r="A220" s="248" t="s">
        <v>402</v>
      </c>
      <c r="B220" s="260"/>
      <c r="C220" s="249"/>
      <c r="D220" s="258">
        <v>12</v>
      </c>
      <c r="E220" s="259"/>
      <c r="F220" s="252">
        <v>217898.84159999999</v>
      </c>
      <c r="G220" s="254"/>
    </row>
    <row r="221" spans="1:7" ht="18.75" customHeight="1" x14ac:dyDescent="0.3">
      <c r="A221" s="248" t="s">
        <v>403</v>
      </c>
      <c r="B221" s="260"/>
      <c r="C221" s="249"/>
      <c r="D221" s="258">
        <v>12</v>
      </c>
      <c r="E221" s="259"/>
      <c r="F221" s="252">
        <v>303329.56799999997</v>
      </c>
      <c r="G221" s="254"/>
    </row>
    <row r="222" spans="1:7" ht="18.75" customHeight="1" x14ac:dyDescent="0.3">
      <c r="A222" s="248" t="s">
        <v>404</v>
      </c>
      <c r="B222" s="260"/>
      <c r="C222" s="249"/>
      <c r="D222" s="258">
        <v>12</v>
      </c>
      <c r="E222" s="259"/>
      <c r="F222" s="252">
        <v>577146.18240000005</v>
      </c>
      <c r="G222" s="254"/>
    </row>
    <row r="223" spans="1:7" ht="18.75" customHeight="1" x14ac:dyDescent="0.3">
      <c r="A223" s="248" t="s">
        <v>405</v>
      </c>
      <c r="B223" s="260"/>
      <c r="C223" s="249"/>
      <c r="D223" s="258">
        <v>12</v>
      </c>
      <c r="E223" s="259"/>
      <c r="F223" s="252">
        <v>118689.19680000001</v>
      </c>
      <c r="G223" s="254"/>
    </row>
    <row r="224" spans="1:7" ht="18.75" customHeight="1" x14ac:dyDescent="0.3">
      <c r="A224" s="248" t="s">
        <v>406</v>
      </c>
      <c r="B224" s="260"/>
      <c r="C224" s="249"/>
      <c r="D224" s="258">
        <v>12</v>
      </c>
      <c r="E224" s="259"/>
      <c r="F224" s="252">
        <v>1339219.2</v>
      </c>
      <c r="G224" s="254"/>
    </row>
    <row r="225" spans="1:7" ht="18.75" customHeight="1" x14ac:dyDescent="0.3">
      <c r="A225" s="248" t="s">
        <v>407</v>
      </c>
      <c r="B225" s="260"/>
      <c r="C225" s="249"/>
      <c r="D225" s="258">
        <v>12</v>
      </c>
      <c r="E225" s="259"/>
      <c r="F225" s="252">
        <v>121747.2</v>
      </c>
      <c r="G225" s="254"/>
    </row>
    <row r="226" spans="1:7" ht="18.75" customHeight="1" x14ac:dyDescent="0.3">
      <c r="A226" s="248" t="s">
        <v>408</v>
      </c>
      <c r="B226" s="260"/>
      <c r="C226" s="249"/>
      <c r="D226" s="258">
        <v>12</v>
      </c>
      <c r="E226" s="259"/>
      <c r="F226" s="252">
        <v>48698.879999999997</v>
      </c>
      <c r="G226" s="254"/>
    </row>
    <row r="227" spans="1:7" ht="18.75" customHeight="1" x14ac:dyDescent="0.3">
      <c r="A227" s="248" t="s">
        <v>409</v>
      </c>
      <c r="B227" s="260"/>
      <c r="C227" s="249"/>
      <c r="D227" s="258">
        <v>12</v>
      </c>
      <c r="E227" s="259"/>
      <c r="F227" s="252">
        <v>71616</v>
      </c>
      <c r="G227" s="254"/>
    </row>
    <row r="228" spans="1:7" ht="18.75" x14ac:dyDescent="0.3">
      <c r="A228" s="248" t="s">
        <v>410</v>
      </c>
      <c r="B228" s="260"/>
      <c r="C228" s="249"/>
      <c r="D228" s="258">
        <v>12</v>
      </c>
      <c r="E228" s="259"/>
      <c r="F228" s="252">
        <v>35627.198400000751</v>
      </c>
      <c r="G228" s="254"/>
    </row>
    <row r="229" spans="1:7" ht="18.75" customHeight="1" x14ac:dyDescent="0.3">
      <c r="A229" s="248" t="s">
        <v>286</v>
      </c>
      <c r="B229" s="260"/>
      <c r="C229" s="249"/>
      <c r="D229" s="258">
        <v>12</v>
      </c>
      <c r="E229" s="259"/>
      <c r="F229" s="252">
        <v>746000</v>
      </c>
      <c r="G229" s="254"/>
    </row>
    <row r="230" spans="1:7" ht="18.75" customHeight="1" x14ac:dyDescent="0.3">
      <c r="A230" s="248" t="s">
        <v>411</v>
      </c>
      <c r="B230" s="260"/>
      <c r="C230" s="249"/>
      <c r="D230" s="258">
        <v>12</v>
      </c>
      <c r="E230" s="259"/>
      <c r="F230" s="252">
        <v>131296</v>
      </c>
      <c r="G230" s="254"/>
    </row>
    <row r="231" spans="1:7" ht="18.75" customHeight="1" x14ac:dyDescent="0.3">
      <c r="A231" s="248" t="s">
        <v>434</v>
      </c>
      <c r="B231" s="260"/>
      <c r="C231" s="249"/>
      <c r="D231" s="258">
        <v>12</v>
      </c>
      <c r="E231" s="259"/>
      <c r="F231" s="252">
        <v>17187.84</v>
      </c>
      <c r="G231" s="254"/>
    </row>
    <row r="232" spans="1:7" ht="18.75" x14ac:dyDescent="0.3">
      <c r="A232" s="248" t="s">
        <v>412</v>
      </c>
      <c r="B232" s="260"/>
      <c r="C232" s="249"/>
      <c r="D232" s="258">
        <v>1</v>
      </c>
      <c r="E232" s="259"/>
      <c r="F232" s="252">
        <v>208880</v>
      </c>
      <c r="G232" s="254"/>
    </row>
    <row r="233" spans="1:7" ht="18.75" x14ac:dyDescent="0.3">
      <c r="A233" s="248" t="s">
        <v>414</v>
      </c>
      <c r="B233" s="260"/>
      <c r="C233" s="249"/>
      <c r="D233" s="258">
        <v>3</v>
      </c>
      <c r="E233" s="259"/>
      <c r="F233" s="252">
        <v>281.09280000000001</v>
      </c>
      <c r="G233" s="254"/>
    </row>
    <row r="234" spans="1:7" ht="37.5" customHeight="1" x14ac:dyDescent="0.3">
      <c r="A234" s="248" t="s">
        <v>435</v>
      </c>
      <c r="B234" s="260"/>
      <c r="C234" s="249"/>
      <c r="D234" s="258">
        <v>12</v>
      </c>
      <c r="E234" s="259"/>
      <c r="F234" s="252">
        <v>1417996.8</v>
      </c>
      <c r="G234" s="254"/>
    </row>
    <row r="235" spans="1:7" ht="18.75" x14ac:dyDescent="0.3">
      <c r="A235" s="248" t="s">
        <v>413</v>
      </c>
      <c r="B235" s="260"/>
      <c r="C235" s="249"/>
      <c r="D235" s="258">
        <v>12</v>
      </c>
      <c r="E235" s="259"/>
      <c r="F235" s="252">
        <v>1396512</v>
      </c>
      <c r="G235" s="254"/>
    </row>
    <row r="236" spans="1:7" ht="18.75" customHeight="1" x14ac:dyDescent="0.3">
      <c r="A236" s="248" t="s">
        <v>438</v>
      </c>
      <c r="B236" s="260"/>
      <c r="C236" s="249"/>
      <c r="D236" s="258">
        <v>12</v>
      </c>
      <c r="E236" s="259"/>
      <c r="F236" s="252">
        <v>149200</v>
      </c>
      <c r="G236" s="254"/>
    </row>
    <row r="237" spans="1:7" ht="18.75" x14ac:dyDescent="0.3">
      <c r="A237" s="248" t="s">
        <v>146</v>
      </c>
      <c r="B237" s="260"/>
      <c r="C237" s="249"/>
      <c r="D237" s="274"/>
      <c r="E237" s="275"/>
      <c r="F237" s="252">
        <f>'гос.задание на 2023-2024 год '!D52</f>
        <v>27992701.129999999</v>
      </c>
      <c r="G237" s="254"/>
    </row>
    <row r="238" spans="1:7" ht="18.75" x14ac:dyDescent="0.25">
      <c r="A238" s="29"/>
    </row>
    <row r="239" spans="1:7" ht="18.75" x14ac:dyDescent="0.25">
      <c r="A239" s="269" t="s">
        <v>221</v>
      </c>
      <c r="B239" s="269"/>
      <c r="C239" s="269"/>
      <c r="D239" s="269"/>
      <c r="E239" s="269"/>
      <c r="F239" s="269"/>
      <c r="G239" s="269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0" t="s">
        <v>86</v>
      </c>
      <c r="B243" s="277"/>
      <c r="C243" s="251"/>
      <c r="D243" s="270" t="s">
        <v>137</v>
      </c>
      <c r="E243" s="270"/>
      <c r="F243" s="270" t="s">
        <v>138</v>
      </c>
      <c r="G243" s="270"/>
    </row>
    <row r="244" spans="1:7" ht="18.75" x14ac:dyDescent="0.3">
      <c r="A244" s="250">
        <v>1</v>
      </c>
      <c r="B244" s="277"/>
      <c r="C244" s="251"/>
      <c r="D244" s="258">
        <v>2</v>
      </c>
      <c r="E244" s="259"/>
      <c r="F244" s="258">
        <v>3</v>
      </c>
      <c r="G244" s="259"/>
    </row>
    <row r="245" spans="1:7" ht="18.75" x14ac:dyDescent="0.3">
      <c r="A245" s="248" t="s">
        <v>384</v>
      </c>
      <c r="B245" s="260"/>
      <c r="C245" s="249"/>
      <c r="D245" s="261"/>
      <c r="E245" s="262"/>
      <c r="F245" s="252"/>
      <c r="G245" s="254"/>
    </row>
    <row r="246" spans="1:7" ht="18.75" customHeight="1" x14ac:dyDescent="0.3">
      <c r="A246" s="248" t="s">
        <v>139</v>
      </c>
      <c r="B246" s="260"/>
      <c r="C246" s="249"/>
      <c r="D246" s="261">
        <v>1</v>
      </c>
      <c r="E246" s="262"/>
      <c r="F246" s="252">
        <f>120000+33816</f>
        <v>153816</v>
      </c>
      <c r="G246" s="254"/>
    </row>
    <row r="247" spans="1:7" ht="18.75" x14ac:dyDescent="0.3">
      <c r="A247" s="248" t="s">
        <v>140</v>
      </c>
      <c r="B247" s="260"/>
      <c r="C247" s="249"/>
      <c r="D247" s="261">
        <v>1</v>
      </c>
      <c r="E247" s="262"/>
      <c r="F247" s="252">
        <v>4697400</v>
      </c>
      <c r="G247" s="254"/>
    </row>
    <row r="248" spans="1:7" ht="18.75" customHeight="1" x14ac:dyDescent="0.3">
      <c r="A248" s="248" t="s">
        <v>351</v>
      </c>
      <c r="B248" s="260"/>
      <c r="C248" s="249"/>
      <c r="D248" s="261">
        <v>1</v>
      </c>
      <c r="E248" s="262"/>
      <c r="F248" s="252">
        <v>19744</v>
      </c>
      <c r="G248" s="254"/>
    </row>
    <row r="249" spans="1:7" ht="18.75" x14ac:dyDescent="0.3">
      <c r="A249" s="248" t="s">
        <v>292</v>
      </c>
      <c r="B249" s="260"/>
      <c r="C249" s="249"/>
      <c r="D249" s="261">
        <v>1</v>
      </c>
      <c r="E249" s="262"/>
      <c r="F249" s="252">
        <v>36000</v>
      </c>
      <c r="G249" s="254"/>
    </row>
    <row r="250" spans="1:7" ht="18.75" customHeight="1" x14ac:dyDescent="0.3">
      <c r="A250" s="248" t="s">
        <v>293</v>
      </c>
      <c r="B250" s="260"/>
      <c r="C250" s="249"/>
      <c r="D250" s="261">
        <v>5</v>
      </c>
      <c r="E250" s="262"/>
      <c r="F250" s="252">
        <v>45000</v>
      </c>
      <c r="G250" s="254"/>
    </row>
    <row r="251" spans="1:7" ht="18.75" x14ac:dyDescent="0.3">
      <c r="A251" s="248" t="s">
        <v>352</v>
      </c>
      <c r="B251" s="260"/>
      <c r="C251" s="249"/>
      <c r="D251" s="261">
        <v>1</v>
      </c>
      <c r="E251" s="262"/>
      <c r="F251" s="252">
        <v>45000</v>
      </c>
      <c r="G251" s="254"/>
    </row>
    <row r="252" spans="1:7" ht="18.75" customHeight="1" x14ac:dyDescent="0.3">
      <c r="A252" s="248" t="s">
        <v>294</v>
      </c>
      <c r="B252" s="260"/>
      <c r="C252" s="249"/>
      <c r="D252" s="261">
        <v>1</v>
      </c>
      <c r="E252" s="262"/>
      <c r="F252" s="252">
        <v>6000</v>
      </c>
      <c r="G252" s="254"/>
    </row>
    <row r="253" spans="1:7" ht="18.75" x14ac:dyDescent="0.3">
      <c r="A253" s="248" t="s">
        <v>295</v>
      </c>
      <c r="B253" s="260"/>
      <c r="C253" s="249"/>
      <c r="D253" s="261">
        <v>9</v>
      </c>
      <c r="E253" s="262"/>
      <c r="F253" s="252">
        <v>83001.279999999999</v>
      </c>
      <c r="G253" s="254"/>
    </row>
    <row r="254" spans="1:7" ht="18.75" customHeight="1" x14ac:dyDescent="0.3">
      <c r="A254" s="248" t="s">
        <v>353</v>
      </c>
      <c r="B254" s="260"/>
      <c r="C254" s="249"/>
      <c r="D254" s="261">
        <v>1</v>
      </c>
      <c r="E254" s="262"/>
      <c r="F254" s="252">
        <v>55000</v>
      </c>
      <c r="G254" s="254"/>
    </row>
    <row r="255" spans="1:7" ht="18.75" x14ac:dyDescent="0.3">
      <c r="A255" s="248" t="s">
        <v>389</v>
      </c>
      <c r="B255" s="260"/>
      <c r="C255" s="249"/>
      <c r="D255" s="261">
        <v>6</v>
      </c>
      <c r="E255" s="262"/>
      <c r="F255" s="252">
        <v>7620</v>
      </c>
      <c r="G255" s="254"/>
    </row>
    <row r="256" spans="1:7" ht="18.75" customHeight="1" x14ac:dyDescent="0.3">
      <c r="A256" s="248" t="s">
        <v>390</v>
      </c>
      <c r="B256" s="260"/>
      <c r="C256" s="249"/>
      <c r="D256" s="261">
        <v>2</v>
      </c>
      <c r="E256" s="262"/>
      <c r="F256" s="252">
        <v>60000</v>
      </c>
      <c r="G256" s="254"/>
    </row>
    <row r="257" spans="1:7" ht="18.75" x14ac:dyDescent="0.3">
      <c r="A257" s="248" t="s">
        <v>385</v>
      </c>
      <c r="B257" s="260"/>
      <c r="C257" s="249"/>
      <c r="D257" s="261"/>
      <c r="E257" s="262"/>
      <c r="F257" s="252"/>
      <c r="G257" s="254"/>
    </row>
    <row r="258" spans="1:7" ht="18.75" customHeight="1" x14ac:dyDescent="0.3">
      <c r="A258" s="248" t="s">
        <v>415</v>
      </c>
      <c r="B258" s="260"/>
      <c r="C258" s="249"/>
      <c r="D258" s="261">
        <v>1</v>
      </c>
      <c r="E258" s="262"/>
      <c r="F258" s="252">
        <v>17350.5</v>
      </c>
      <c r="G258" s="254"/>
    </row>
    <row r="259" spans="1:7" ht="18.75" x14ac:dyDescent="0.3">
      <c r="A259" s="248" t="s">
        <v>416</v>
      </c>
      <c r="B259" s="260"/>
      <c r="C259" s="249"/>
      <c r="D259" s="261">
        <v>1</v>
      </c>
      <c r="E259" s="262"/>
      <c r="F259" s="252">
        <v>66394.58</v>
      </c>
      <c r="G259" s="254"/>
    </row>
    <row r="260" spans="1:7" ht="18.75" x14ac:dyDescent="0.3">
      <c r="A260" s="248" t="s">
        <v>140</v>
      </c>
      <c r="B260" s="260"/>
      <c r="C260" s="249"/>
      <c r="D260" s="261">
        <v>1</v>
      </c>
      <c r="E260" s="262"/>
      <c r="F260" s="252">
        <v>3459458.36</v>
      </c>
      <c r="G260" s="254"/>
    </row>
    <row r="261" spans="1:7" ht="18.75" customHeight="1" x14ac:dyDescent="0.3">
      <c r="A261" s="248" t="s">
        <v>417</v>
      </c>
      <c r="B261" s="260"/>
      <c r="C261" s="249"/>
      <c r="D261" s="261">
        <v>1</v>
      </c>
      <c r="E261" s="262"/>
      <c r="F261" s="252">
        <v>18507.2</v>
      </c>
      <c r="G261" s="254"/>
    </row>
    <row r="262" spans="1:7" ht="18.75" customHeight="1" x14ac:dyDescent="0.3">
      <c r="A262" s="248" t="s">
        <v>418</v>
      </c>
      <c r="B262" s="260"/>
      <c r="C262" s="249"/>
      <c r="D262" s="261">
        <v>2</v>
      </c>
      <c r="E262" s="262"/>
      <c r="F262" s="252">
        <v>69402</v>
      </c>
      <c r="G262" s="254"/>
    </row>
    <row r="263" spans="1:7" ht="18.75" customHeight="1" x14ac:dyDescent="0.3">
      <c r="A263" s="248" t="s">
        <v>353</v>
      </c>
      <c r="B263" s="260"/>
      <c r="C263" s="249"/>
      <c r="D263" s="261">
        <v>1</v>
      </c>
      <c r="E263" s="262"/>
      <c r="F263" s="252">
        <v>107573.1</v>
      </c>
      <c r="G263" s="254"/>
    </row>
    <row r="264" spans="1:7" ht="57.75" customHeight="1" x14ac:dyDescent="0.3">
      <c r="A264" s="248" t="s">
        <v>439</v>
      </c>
      <c r="B264" s="260"/>
      <c r="C264" s="249"/>
      <c r="D264" s="261">
        <v>1</v>
      </c>
      <c r="E264" s="262"/>
      <c r="F264" s="252">
        <f>28917.5+32276.76</f>
        <v>61194.259999999995</v>
      </c>
      <c r="G264" s="254"/>
    </row>
    <row r="265" spans="1:7" ht="18.75" x14ac:dyDescent="0.3">
      <c r="A265" s="248" t="s">
        <v>146</v>
      </c>
      <c r="B265" s="260"/>
      <c r="C265" s="249"/>
      <c r="D265" s="274"/>
      <c r="E265" s="275"/>
      <c r="F265" s="252">
        <f>'гос.задание на 2023-2024 год '!D58</f>
        <v>9008461.2799999993</v>
      </c>
      <c r="G265" s="254"/>
    </row>
    <row r="266" spans="1:7" ht="18.75" x14ac:dyDescent="0.25">
      <c r="A266" s="8"/>
    </row>
    <row r="267" spans="1:7" ht="18.75" x14ac:dyDescent="0.25">
      <c r="A267" s="269" t="s">
        <v>222</v>
      </c>
      <c r="B267" s="269"/>
      <c r="C267" s="269"/>
      <c r="D267" s="269"/>
      <c r="E267" s="269"/>
      <c r="F267" s="269"/>
      <c r="G267" s="269"/>
    </row>
    <row r="268" spans="1:7" ht="18.75" x14ac:dyDescent="0.25">
      <c r="A268" s="9"/>
    </row>
    <row r="269" spans="1:7" ht="18.75" x14ac:dyDescent="0.3">
      <c r="A269" s="9" t="s">
        <v>145</v>
      </c>
      <c r="B269" s="10">
        <v>244</v>
      </c>
    </row>
    <row r="270" spans="1:7" ht="18.75" x14ac:dyDescent="0.25">
      <c r="A270" s="8"/>
    </row>
    <row r="271" spans="1:7" ht="18.75" x14ac:dyDescent="0.25">
      <c r="A271" s="250" t="s">
        <v>86</v>
      </c>
      <c r="B271" s="251"/>
      <c r="C271" s="250" t="s">
        <v>137</v>
      </c>
      <c r="D271" s="251"/>
      <c r="E271" s="250" t="s">
        <v>138</v>
      </c>
      <c r="F271" s="277"/>
      <c r="G271" s="251"/>
    </row>
    <row r="272" spans="1:7" ht="18.75" x14ac:dyDescent="0.3">
      <c r="A272" s="250">
        <v>1</v>
      </c>
      <c r="B272" s="251"/>
      <c r="C272" s="250">
        <v>2</v>
      </c>
      <c r="D272" s="251"/>
      <c r="E272" s="258">
        <v>3</v>
      </c>
      <c r="F272" s="276"/>
      <c r="G272" s="259"/>
    </row>
    <row r="273" spans="1:7" ht="18.75" x14ac:dyDescent="0.3">
      <c r="A273" s="248" t="s">
        <v>25</v>
      </c>
      <c r="B273" s="249"/>
      <c r="C273" s="250">
        <v>1</v>
      </c>
      <c r="D273" s="251"/>
      <c r="E273" s="252">
        <f>'гос.задание на 2023-2024 год '!D59</f>
        <v>5067.62</v>
      </c>
      <c r="F273" s="253"/>
      <c r="G273" s="254"/>
    </row>
    <row r="274" spans="1:7" x14ac:dyDescent="0.25">
      <c r="A274" s="23"/>
    </row>
    <row r="275" spans="1:7" ht="18.75" x14ac:dyDescent="0.25">
      <c r="A275" s="8"/>
    </row>
    <row r="276" spans="1:7" ht="18.75" customHeight="1" x14ac:dyDescent="0.25">
      <c r="A276" s="271" t="s">
        <v>225</v>
      </c>
      <c r="B276" s="271"/>
      <c r="C276" s="271"/>
      <c r="D276" s="271"/>
      <c r="E276" s="271"/>
      <c r="F276" s="271"/>
      <c r="G276" s="271"/>
    </row>
    <row r="277" spans="1:7" ht="18.75" x14ac:dyDescent="0.25">
      <c r="A277" s="9"/>
    </row>
    <row r="278" spans="1:7" ht="18.75" x14ac:dyDescent="0.3">
      <c r="A278" s="9" t="s">
        <v>145</v>
      </c>
      <c r="B278" s="10">
        <v>244</v>
      </c>
    </row>
    <row r="279" spans="1:7" ht="18.75" x14ac:dyDescent="0.25">
      <c r="A279" s="8"/>
    </row>
    <row r="280" spans="1:7" ht="18.75" x14ac:dyDescent="0.25">
      <c r="A280" s="106" t="s">
        <v>86</v>
      </c>
      <c r="B280" s="270" t="s">
        <v>142</v>
      </c>
      <c r="C280" s="270"/>
      <c r="D280" s="270" t="s">
        <v>143</v>
      </c>
      <c r="E280" s="270"/>
      <c r="F280" s="270" t="s">
        <v>150</v>
      </c>
      <c r="G280" s="270"/>
    </row>
    <row r="281" spans="1:7" ht="18.75" x14ac:dyDescent="0.25">
      <c r="A281" s="106">
        <v>1</v>
      </c>
      <c r="B281" s="250">
        <v>2</v>
      </c>
      <c r="C281" s="251"/>
      <c r="D281" s="250">
        <v>3</v>
      </c>
      <c r="E281" s="251"/>
      <c r="F281" s="250">
        <v>4</v>
      </c>
      <c r="G281" s="251"/>
    </row>
    <row r="282" spans="1:7" ht="18.75" x14ac:dyDescent="0.25">
      <c r="A282" s="13"/>
      <c r="B282" s="278"/>
      <c r="C282" s="279"/>
      <c r="D282" s="278"/>
      <c r="E282" s="279"/>
      <c r="F282" s="329"/>
      <c r="G282" s="330"/>
    </row>
    <row r="283" spans="1:7" ht="18.75" x14ac:dyDescent="0.25">
      <c r="A283" s="13" t="s">
        <v>237</v>
      </c>
      <c r="B283" s="250"/>
      <c r="C283" s="251"/>
      <c r="D283" s="244"/>
      <c r="E283" s="245"/>
      <c r="F283" s="244">
        <f>'гос.задание на 2023-2024 год '!D94</f>
        <v>0</v>
      </c>
      <c r="G283" s="245"/>
    </row>
    <row r="284" spans="1:7" ht="18.75" x14ac:dyDescent="0.25">
      <c r="A284" s="13"/>
      <c r="B284" s="250"/>
      <c r="C284" s="251"/>
      <c r="D284" s="244"/>
      <c r="E284" s="245"/>
      <c r="F284" s="244"/>
      <c r="G284" s="245"/>
    </row>
    <row r="285" spans="1:7" ht="18.75" x14ac:dyDescent="0.25">
      <c r="A285" s="13" t="s">
        <v>238</v>
      </c>
      <c r="B285" s="250"/>
      <c r="C285" s="251"/>
      <c r="D285" s="244"/>
      <c r="E285" s="245"/>
      <c r="F285" s="244">
        <f>'гос.задание на 2023-2024 год '!D95</f>
        <v>0</v>
      </c>
      <c r="G285" s="245"/>
    </row>
    <row r="286" spans="1:7" ht="18.75" x14ac:dyDescent="0.25">
      <c r="A286" s="13"/>
      <c r="B286" s="250"/>
      <c r="C286" s="251"/>
      <c r="D286" s="244"/>
      <c r="E286" s="245"/>
      <c r="F286" s="244"/>
      <c r="G286" s="245"/>
    </row>
    <row r="287" spans="1:7" ht="18.75" x14ac:dyDescent="0.25">
      <c r="A287" s="13" t="s">
        <v>239</v>
      </c>
      <c r="B287" s="250"/>
      <c r="C287" s="251"/>
      <c r="D287" s="244"/>
      <c r="E287" s="245"/>
      <c r="F287" s="244">
        <f>'гос.задание на 2023-2024 год '!D96</f>
        <v>290000</v>
      </c>
      <c r="G287" s="245"/>
    </row>
    <row r="288" spans="1:7" ht="18.75" x14ac:dyDescent="0.25">
      <c r="A288" s="13" t="s">
        <v>296</v>
      </c>
      <c r="B288" s="250">
        <v>5370.37</v>
      </c>
      <c r="C288" s="251"/>
      <c r="D288" s="244">
        <v>54</v>
      </c>
      <c r="E288" s="245"/>
      <c r="F288" s="244">
        <v>290000</v>
      </c>
      <c r="G288" s="245"/>
    </row>
    <row r="289" spans="1:7" ht="18.75" x14ac:dyDescent="0.25">
      <c r="A289" s="13" t="s">
        <v>240</v>
      </c>
      <c r="B289" s="250"/>
      <c r="C289" s="251"/>
      <c r="D289" s="244"/>
      <c r="E289" s="245"/>
      <c r="F289" s="244">
        <f>'гос.задание на 2023-2024 год '!D97</f>
        <v>200000</v>
      </c>
      <c r="G289" s="245"/>
    </row>
    <row r="290" spans="1:7" ht="18.75" x14ac:dyDescent="0.25">
      <c r="A290" s="13" t="s">
        <v>297</v>
      </c>
      <c r="B290" s="250">
        <v>4000</v>
      </c>
      <c r="C290" s="251"/>
      <c r="D290" s="244">
        <v>50</v>
      </c>
      <c r="E290" s="245"/>
      <c r="F290" s="244">
        <v>200000</v>
      </c>
      <c r="G290" s="245"/>
    </row>
    <row r="291" spans="1:7" ht="18.75" x14ac:dyDescent="0.25">
      <c r="A291" s="13" t="s">
        <v>241</v>
      </c>
      <c r="B291" s="250"/>
      <c r="C291" s="251"/>
      <c r="D291" s="244"/>
      <c r="E291" s="245"/>
      <c r="F291" s="244">
        <f>'гос.задание на 2023-2024 год '!D98</f>
        <v>334245</v>
      </c>
      <c r="G291" s="245"/>
    </row>
    <row r="292" spans="1:7" ht="18.75" x14ac:dyDescent="0.25">
      <c r="A292" s="13" t="s">
        <v>298</v>
      </c>
      <c r="B292" s="250">
        <v>36</v>
      </c>
      <c r="C292" s="251"/>
      <c r="D292" s="244">
        <v>1666.67</v>
      </c>
      <c r="E292" s="245"/>
      <c r="F292" s="244">
        <v>60000</v>
      </c>
      <c r="G292" s="245"/>
    </row>
    <row r="293" spans="1:7" ht="18.75" x14ac:dyDescent="0.25">
      <c r="A293" s="13" t="s">
        <v>299</v>
      </c>
      <c r="B293" s="250">
        <v>20</v>
      </c>
      <c r="C293" s="251"/>
      <c r="D293" s="244">
        <v>4000</v>
      </c>
      <c r="E293" s="245"/>
      <c r="F293" s="244">
        <v>80000</v>
      </c>
      <c r="G293" s="245"/>
    </row>
    <row r="294" spans="1:7" ht="18.75" x14ac:dyDescent="0.25">
      <c r="A294" s="13" t="s">
        <v>300</v>
      </c>
      <c r="B294" s="250">
        <v>50</v>
      </c>
      <c r="C294" s="251"/>
      <c r="D294" s="244">
        <v>3884.9</v>
      </c>
      <c r="E294" s="245"/>
      <c r="F294" s="244">
        <v>194245</v>
      </c>
      <c r="G294" s="245"/>
    </row>
    <row r="295" spans="1:7" ht="18.75" x14ac:dyDescent="0.25">
      <c r="A295" s="13" t="s">
        <v>242</v>
      </c>
      <c r="B295" s="250"/>
      <c r="C295" s="251"/>
      <c r="D295" s="244"/>
      <c r="E295" s="245"/>
      <c r="F295" s="244">
        <f>'гос.задание на 2023-2024 год '!D99</f>
        <v>8428958.6199999992</v>
      </c>
      <c r="G295" s="245"/>
    </row>
    <row r="296" spans="1:7" ht="18.75" x14ac:dyDescent="0.25">
      <c r="A296" s="13" t="s">
        <v>384</v>
      </c>
      <c r="B296" s="246"/>
      <c r="C296" s="247"/>
      <c r="D296" s="244"/>
      <c r="E296" s="245"/>
      <c r="F296" s="244"/>
      <c r="G296" s="245"/>
    </row>
    <row r="297" spans="1:7" ht="18.75" x14ac:dyDescent="0.25">
      <c r="A297" s="13" t="s">
        <v>301</v>
      </c>
      <c r="B297" s="246">
        <v>1000</v>
      </c>
      <c r="C297" s="247"/>
      <c r="D297" s="244">
        <v>45</v>
      </c>
      <c r="E297" s="245"/>
      <c r="F297" s="244">
        <v>45000</v>
      </c>
      <c r="G297" s="245"/>
    </row>
    <row r="298" spans="1:7" ht="18.75" x14ac:dyDescent="0.25">
      <c r="A298" s="13" t="s">
        <v>302</v>
      </c>
      <c r="B298" s="246">
        <v>1999</v>
      </c>
      <c r="C298" s="247"/>
      <c r="D298" s="244">
        <v>22.9</v>
      </c>
      <c r="E298" s="245"/>
      <c r="F298" s="244">
        <v>45777.120000000003</v>
      </c>
      <c r="G298" s="245"/>
    </row>
    <row r="299" spans="1:7" ht="37.5" x14ac:dyDescent="0.25">
      <c r="A299" s="13" t="s">
        <v>303</v>
      </c>
      <c r="B299" s="246">
        <v>141</v>
      </c>
      <c r="C299" s="247"/>
      <c r="D299" s="244">
        <v>2593.62</v>
      </c>
      <c r="E299" s="245"/>
      <c r="F299" s="244">
        <f>45000+180700+140000</f>
        <v>365700</v>
      </c>
      <c r="G299" s="245"/>
    </row>
    <row r="300" spans="1:7" ht="18.75" x14ac:dyDescent="0.25">
      <c r="A300" s="13" t="s">
        <v>304</v>
      </c>
      <c r="B300" s="246">
        <v>200</v>
      </c>
      <c r="C300" s="247"/>
      <c r="D300" s="244">
        <v>1400</v>
      </c>
      <c r="E300" s="245"/>
      <c r="F300" s="244">
        <v>280000</v>
      </c>
      <c r="G300" s="245"/>
    </row>
    <row r="301" spans="1:7" ht="37.5" x14ac:dyDescent="0.25">
      <c r="A301" s="13" t="s">
        <v>305</v>
      </c>
      <c r="B301" s="246">
        <v>500</v>
      </c>
      <c r="C301" s="247"/>
      <c r="D301" s="244">
        <v>12350.16</v>
      </c>
      <c r="E301" s="245"/>
      <c r="F301" s="244">
        <v>6175081.5</v>
      </c>
      <c r="G301" s="245"/>
    </row>
    <row r="302" spans="1:7" ht="18.75" x14ac:dyDescent="0.25">
      <c r="A302" s="13" t="s">
        <v>385</v>
      </c>
      <c r="B302" s="246"/>
      <c r="C302" s="247"/>
      <c r="D302" s="244"/>
      <c r="E302" s="245"/>
      <c r="F302" s="244"/>
      <c r="G302" s="245"/>
    </row>
    <row r="303" spans="1:7" ht="18.75" x14ac:dyDescent="0.25">
      <c r="A303" s="13" t="s">
        <v>420</v>
      </c>
      <c r="B303" s="246">
        <v>1000</v>
      </c>
      <c r="C303" s="247"/>
      <c r="D303" s="244">
        <v>162.62</v>
      </c>
      <c r="E303" s="245"/>
      <c r="F303" s="244">
        <v>162620</v>
      </c>
      <c r="G303" s="245"/>
    </row>
    <row r="304" spans="1:7" ht="18.75" x14ac:dyDescent="0.25">
      <c r="A304" s="13" t="s">
        <v>421</v>
      </c>
      <c r="B304" s="246">
        <v>500</v>
      </c>
      <c r="C304" s="247"/>
      <c r="D304" s="244">
        <v>525.54</v>
      </c>
      <c r="E304" s="245"/>
      <c r="F304" s="244">
        <v>262770</v>
      </c>
      <c r="G304" s="245"/>
    </row>
    <row r="305" spans="1:7" ht="37.5" x14ac:dyDescent="0.25">
      <c r="A305" s="13" t="s">
        <v>422</v>
      </c>
      <c r="B305" s="246">
        <v>30</v>
      </c>
      <c r="C305" s="247"/>
      <c r="D305" s="244">
        <v>212.51</v>
      </c>
      <c r="E305" s="245"/>
      <c r="F305" s="244">
        <v>6375.3</v>
      </c>
      <c r="G305" s="245"/>
    </row>
    <row r="306" spans="1:7" ht="37.5" x14ac:dyDescent="0.25">
      <c r="A306" s="13" t="s">
        <v>441</v>
      </c>
      <c r="B306" s="246">
        <v>12</v>
      </c>
      <c r="C306" s="247"/>
      <c r="D306" s="244">
        <v>13858.18</v>
      </c>
      <c r="E306" s="245"/>
      <c r="F306" s="244">
        <v>166298.20000000001</v>
      </c>
      <c r="G306" s="245"/>
    </row>
    <row r="307" spans="1:7" ht="18.75" x14ac:dyDescent="0.25">
      <c r="A307" s="13" t="s">
        <v>424</v>
      </c>
      <c r="B307" s="246">
        <v>1000</v>
      </c>
      <c r="C307" s="247"/>
      <c r="D307" s="244">
        <v>8.31</v>
      </c>
      <c r="E307" s="245"/>
      <c r="F307" s="244">
        <v>8310</v>
      </c>
      <c r="G307" s="245"/>
    </row>
    <row r="308" spans="1:7" ht="18.75" x14ac:dyDescent="0.25">
      <c r="A308" s="13" t="s">
        <v>301</v>
      </c>
      <c r="B308" s="246">
        <v>1000</v>
      </c>
      <c r="C308" s="247"/>
      <c r="D308" s="244">
        <v>277.19</v>
      </c>
      <c r="E308" s="245"/>
      <c r="F308" s="244">
        <v>277190</v>
      </c>
      <c r="G308" s="245"/>
    </row>
    <row r="309" spans="1:7" ht="18.75" x14ac:dyDescent="0.25">
      <c r="A309" s="13" t="s">
        <v>425</v>
      </c>
      <c r="B309" s="246">
        <v>70</v>
      </c>
      <c r="C309" s="247"/>
      <c r="D309" s="244">
        <v>791.95</v>
      </c>
      <c r="E309" s="245"/>
      <c r="F309" s="244">
        <v>55436.5</v>
      </c>
      <c r="G309" s="245"/>
    </row>
    <row r="310" spans="1:7" ht="18.75" x14ac:dyDescent="0.25">
      <c r="A310" s="13" t="s">
        <v>302</v>
      </c>
      <c r="B310" s="246">
        <v>2000</v>
      </c>
      <c r="C310" s="247"/>
      <c r="D310" s="244">
        <v>132.13</v>
      </c>
      <c r="E310" s="245"/>
      <c r="F310" s="244">
        <v>264260</v>
      </c>
      <c r="G310" s="245"/>
    </row>
    <row r="311" spans="1:7" ht="37.5" x14ac:dyDescent="0.25">
      <c r="A311" s="13" t="s">
        <v>305</v>
      </c>
      <c r="B311" s="246">
        <v>80</v>
      </c>
      <c r="C311" s="247"/>
      <c r="D311" s="244">
        <v>3926.75</v>
      </c>
      <c r="E311" s="245"/>
      <c r="F311" s="244">
        <v>314140</v>
      </c>
      <c r="G311" s="245"/>
    </row>
    <row r="312" spans="1:7" ht="18.75" x14ac:dyDescent="0.25">
      <c r="A312" s="13" t="s">
        <v>243</v>
      </c>
      <c r="B312" s="250"/>
      <c r="C312" s="251"/>
      <c r="D312" s="244"/>
      <c r="E312" s="245"/>
      <c r="F312" s="244">
        <f>'гос.задание на 2023-2024 год '!D101</f>
        <v>148700</v>
      </c>
      <c r="G312" s="245"/>
    </row>
    <row r="313" spans="1:7" ht="37.5" x14ac:dyDescent="0.25">
      <c r="A313" s="13" t="s">
        <v>391</v>
      </c>
      <c r="B313" s="246">
        <v>100000</v>
      </c>
      <c r="C313" s="247"/>
      <c r="D313" s="244">
        <v>1.48</v>
      </c>
      <c r="E313" s="245"/>
      <c r="F313" s="244">
        <v>148700</v>
      </c>
      <c r="G313" s="245"/>
    </row>
    <row r="314" spans="1:7" ht="18.75" x14ac:dyDescent="0.25">
      <c r="A314" s="15"/>
      <c r="B314" s="16"/>
      <c r="C314" s="16"/>
      <c r="D314" s="16"/>
      <c r="E314" s="16"/>
      <c r="F314" s="78"/>
      <c r="G314" s="78"/>
    </row>
    <row r="315" spans="1:7" ht="18.75" x14ac:dyDescent="0.25">
      <c r="A315" s="29"/>
    </row>
    <row r="316" spans="1:7" ht="18.75" x14ac:dyDescent="0.3">
      <c r="A316" s="29" t="s">
        <v>151</v>
      </c>
      <c r="B316" s="10"/>
      <c r="C316" s="219"/>
      <c r="D316" s="219"/>
      <c r="E316" s="10"/>
      <c r="F316" s="219" t="s">
        <v>465</v>
      </c>
      <c r="G316" s="219"/>
    </row>
    <row r="317" spans="1:7" ht="18.75" x14ac:dyDescent="0.3">
      <c r="A317" s="29"/>
      <c r="B317" s="10"/>
      <c r="C317" s="218" t="s">
        <v>53</v>
      </c>
      <c r="D317" s="218"/>
      <c r="E317" s="10"/>
      <c r="F317" s="218" t="s">
        <v>54</v>
      </c>
      <c r="G317" s="218"/>
    </row>
    <row r="318" spans="1:7" ht="18.75" x14ac:dyDescent="0.3">
      <c r="A318" s="29"/>
      <c r="B318" s="10"/>
      <c r="C318" s="104"/>
      <c r="D318" s="104"/>
      <c r="E318" s="10"/>
      <c r="F318" s="104"/>
      <c r="G318" s="104"/>
    </row>
    <row r="319" spans="1:7" ht="18.75" x14ac:dyDescent="0.3">
      <c r="A319" s="29" t="s">
        <v>152</v>
      </c>
      <c r="B319" s="10"/>
      <c r="C319" s="219"/>
      <c r="D319" s="219"/>
      <c r="E319" s="10"/>
      <c r="F319" s="219" t="s">
        <v>341</v>
      </c>
      <c r="G319" s="219"/>
    </row>
    <row r="320" spans="1:7" ht="18.75" x14ac:dyDescent="0.3">
      <c r="A320" s="29"/>
      <c r="B320" s="10"/>
      <c r="C320" s="218" t="s">
        <v>53</v>
      </c>
      <c r="D320" s="218"/>
      <c r="E320" s="10"/>
      <c r="F320" s="218" t="s">
        <v>54</v>
      </c>
      <c r="G320" s="218"/>
    </row>
    <row r="321" spans="1:7" ht="18.75" x14ac:dyDescent="0.3">
      <c r="A321" s="29"/>
      <c r="B321" s="10"/>
      <c r="C321" s="104"/>
      <c r="D321" s="104"/>
      <c r="E321" s="10"/>
      <c r="F321" s="104"/>
      <c r="G321" s="104"/>
    </row>
    <row r="322" spans="1:7" ht="18.75" x14ac:dyDescent="0.3">
      <c r="A322" s="29" t="s">
        <v>153</v>
      </c>
      <c r="B322" s="10"/>
      <c r="C322" s="219"/>
      <c r="D322" s="219"/>
      <c r="E322" s="10"/>
      <c r="F322" s="219" t="s">
        <v>341</v>
      </c>
      <c r="G322" s="219"/>
    </row>
    <row r="323" spans="1:7" ht="18.75" x14ac:dyDescent="0.3">
      <c r="A323" s="29"/>
      <c r="B323" s="10"/>
      <c r="C323" s="218" t="s">
        <v>53</v>
      </c>
      <c r="D323" s="218"/>
      <c r="E323" s="10"/>
      <c r="F323" s="218" t="s">
        <v>54</v>
      </c>
      <c r="G323" s="218"/>
    </row>
    <row r="324" spans="1:7" ht="18.75" x14ac:dyDescent="0.3">
      <c r="A324" s="29" t="s">
        <v>154</v>
      </c>
      <c r="B324" s="10"/>
      <c r="C324" s="10"/>
      <c r="D324" s="10"/>
      <c r="E324" s="10"/>
      <c r="F324" s="10"/>
      <c r="G324" s="10"/>
    </row>
    <row r="325" spans="1:7" ht="18.75" x14ac:dyDescent="0.3">
      <c r="A325" s="217" t="s">
        <v>44</v>
      </c>
      <c r="B325" s="217"/>
      <c r="C325" s="10"/>
      <c r="D325" s="10"/>
      <c r="E325" s="10"/>
      <c r="F325" s="10"/>
      <c r="G325" s="10"/>
    </row>
  </sheetData>
  <mergeCells count="485">
    <mergeCell ref="A85:G85"/>
    <mergeCell ref="A97:G97"/>
    <mergeCell ref="A102:G102"/>
    <mergeCell ref="A325:B325"/>
    <mergeCell ref="A246:C246"/>
    <mergeCell ref="A244:C244"/>
    <mergeCell ref="A157:G157"/>
    <mergeCell ref="A129:G129"/>
    <mergeCell ref="F292:G292"/>
    <mergeCell ref="D292:E292"/>
    <mergeCell ref="B292:C292"/>
    <mergeCell ref="F283:G283"/>
    <mergeCell ref="D283:E283"/>
    <mergeCell ref="B283:C283"/>
    <mergeCell ref="F282:G282"/>
    <mergeCell ref="D282:E282"/>
    <mergeCell ref="F290:G290"/>
    <mergeCell ref="B291:C291"/>
    <mergeCell ref="D291:E291"/>
    <mergeCell ref="F300:G300"/>
    <mergeCell ref="B290:C290"/>
    <mergeCell ref="D290:E290"/>
    <mergeCell ref="B289:C289"/>
    <mergeCell ref="D289:E289"/>
    <mergeCell ref="F289:G289"/>
    <mergeCell ref="F298:G298"/>
    <mergeCell ref="D288:E288"/>
    <mergeCell ref="F288:G288"/>
    <mergeCell ref="F299:G299"/>
    <mergeCell ref="B300:C300"/>
    <mergeCell ref="D300:E300"/>
    <mergeCell ref="B305:C305"/>
    <mergeCell ref="D305:E305"/>
    <mergeCell ref="F305:G305"/>
    <mergeCell ref="B301:C301"/>
    <mergeCell ref="D301:E301"/>
    <mergeCell ref="F301:G301"/>
    <mergeCell ref="B302:C302"/>
    <mergeCell ref="D302:E302"/>
    <mergeCell ref="F302:G302"/>
    <mergeCell ref="B303:C303"/>
    <mergeCell ref="D303:E303"/>
    <mergeCell ref="F303:G303"/>
    <mergeCell ref="B304:C304"/>
    <mergeCell ref="D304:E304"/>
    <mergeCell ref="F304:G304"/>
    <mergeCell ref="B293:C293"/>
    <mergeCell ref="D293:E293"/>
    <mergeCell ref="A265:C265"/>
    <mergeCell ref="D265:E265"/>
    <mergeCell ref="F265:G265"/>
    <mergeCell ref="A273:B273"/>
    <mergeCell ref="C273:D273"/>
    <mergeCell ref="E273:G273"/>
    <mergeCell ref="A276:G276"/>
    <mergeCell ref="B280:C280"/>
    <mergeCell ref="D280:E280"/>
    <mergeCell ref="F280:G280"/>
    <mergeCell ref="F293:G293"/>
    <mergeCell ref="A267:G267"/>
    <mergeCell ref="A271:B271"/>
    <mergeCell ref="C271:D271"/>
    <mergeCell ref="E271:G271"/>
    <mergeCell ref="A272:B272"/>
    <mergeCell ref="C272:D272"/>
    <mergeCell ref="E272:G272"/>
    <mergeCell ref="B281:C281"/>
    <mergeCell ref="F291:G291"/>
    <mergeCell ref="B288:C288"/>
    <mergeCell ref="D281:E281"/>
    <mergeCell ref="F281:G281"/>
    <mergeCell ref="B286:C286"/>
    <mergeCell ref="D286:E286"/>
    <mergeCell ref="F286:G286"/>
    <mergeCell ref="B287:C287"/>
    <mergeCell ref="D287:E287"/>
    <mergeCell ref="F287:G287"/>
    <mergeCell ref="B284:C284"/>
    <mergeCell ref="D284:E284"/>
    <mergeCell ref="F284:G284"/>
    <mergeCell ref="B285:C285"/>
    <mergeCell ref="D285:E285"/>
    <mergeCell ref="A232:C232"/>
    <mergeCell ref="D232:E232"/>
    <mergeCell ref="F232:G232"/>
    <mergeCell ref="A233:C233"/>
    <mergeCell ref="D233:E233"/>
    <mergeCell ref="F233:G233"/>
    <mergeCell ref="A230:C230"/>
    <mergeCell ref="D230:E230"/>
    <mergeCell ref="A257:C257"/>
    <mergeCell ref="D257:E257"/>
    <mergeCell ref="F257:G257"/>
    <mergeCell ref="A236:C236"/>
    <mergeCell ref="D236:E236"/>
    <mergeCell ref="F236:G236"/>
    <mergeCell ref="D254:E254"/>
    <mergeCell ref="F251:G251"/>
    <mergeCell ref="A255:C255"/>
    <mergeCell ref="D255:E255"/>
    <mergeCell ref="F255:G255"/>
    <mergeCell ref="A239:G239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16:C216"/>
    <mergeCell ref="D216:E216"/>
    <mergeCell ref="F216:G216"/>
    <mergeCell ref="F254:G254"/>
    <mergeCell ref="A249:C249"/>
    <mergeCell ref="D249:E249"/>
    <mergeCell ref="F249:G249"/>
    <mergeCell ref="A250:C250"/>
    <mergeCell ref="D250:E250"/>
    <mergeCell ref="F250:G250"/>
    <mergeCell ref="A251:C251"/>
    <mergeCell ref="D251:E251"/>
    <mergeCell ref="A247:C247"/>
    <mergeCell ref="D247:E247"/>
    <mergeCell ref="F247:G247"/>
    <mergeCell ref="A248:C248"/>
    <mergeCell ref="D248:E248"/>
    <mergeCell ref="F248:G248"/>
    <mergeCell ref="A217:C217"/>
    <mergeCell ref="D217:E217"/>
    <mergeCell ref="F217:G217"/>
    <mergeCell ref="A218:C218"/>
    <mergeCell ref="D218:E218"/>
    <mergeCell ref="F218:G218"/>
    <mergeCell ref="A213:C213"/>
    <mergeCell ref="D213:E213"/>
    <mergeCell ref="F213:G213"/>
    <mergeCell ref="A214:C214"/>
    <mergeCell ref="D214:E214"/>
    <mergeCell ref="F214:G214"/>
    <mergeCell ref="A215:C215"/>
    <mergeCell ref="D215:E215"/>
    <mergeCell ref="F215:G215"/>
    <mergeCell ref="A210:C210"/>
    <mergeCell ref="D210:E210"/>
    <mergeCell ref="F210:G210"/>
    <mergeCell ref="A211:C211"/>
    <mergeCell ref="D211:E211"/>
    <mergeCell ref="F211:G211"/>
    <mergeCell ref="A212:C212"/>
    <mergeCell ref="D212:E212"/>
    <mergeCell ref="F212:G212"/>
    <mergeCell ref="A207:C207"/>
    <mergeCell ref="D207:E207"/>
    <mergeCell ref="F207:G207"/>
    <mergeCell ref="A208:C208"/>
    <mergeCell ref="D208:E208"/>
    <mergeCell ref="F208:G208"/>
    <mergeCell ref="A209:C209"/>
    <mergeCell ref="D209:E209"/>
    <mergeCell ref="F209:G209"/>
    <mergeCell ref="A204:C204"/>
    <mergeCell ref="D204:E204"/>
    <mergeCell ref="F204:G204"/>
    <mergeCell ref="A205:C205"/>
    <mergeCell ref="D205:E205"/>
    <mergeCell ref="F205:G205"/>
    <mergeCell ref="A206:C206"/>
    <mergeCell ref="D206:E206"/>
    <mergeCell ref="F206:G206"/>
    <mergeCell ref="A201:C201"/>
    <mergeCell ref="D201:E201"/>
    <mergeCell ref="F201:G201"/>
    <mergeCell ref="A202:C202"/>
    <mergeCell ref="D202:E202"/>
    <mergeCell ref="F202:G202"/>
    <mergeCell ref="A203:C203"/>
    <mergeCell ref="D203:E203"/>
    <mergeCell ref="F203:G203"/>
    <mergeCell ref="A194:C194"/>
    <mergeCell ref="D194:E194"/>
    <mergeCell ref="F194:G194"/>
    <mergeCell ref="A195:C195"/>
    <mergeCell ref="D195:E195"/>
    <mergeCell ref="F195:G195"/>
    <mergeCell ref="A196:C196"/>
    <mergeCell ref="D196:E196"/>
    <mergeCell ref="F196:G196"/>
    <mergeCell ref="A197:C197"/>
    <mergeCell ref="D197:E197"/>
    <mergeCell ref="F197:G197"/>
    <mergeCell ref="A198:C198"/>
    <mergeCell ref="D198:E198"/>
    <mergeCell ref="F198:G198"/>
    <mergeCell ref="A199:C199"/>
    <mergeCell ref="D199:E199"/>
    <mergeCell ref="F199:G199"/>
    <mergeCell ref="B181:C181"/>
    <mergeCell ref="D181:E181"/>
    <mergeCell ref="F180:G181"/>
    <mergeCell ref="B183:C183"/>
    <mergeCell ref="D183:E183"/>
    <mergeCell ref="F182:G183"/>
    <mergeCell ref="A188:G188"/>
    <mergeCell ref="A193:C193"/>
    <mergeCell ref="D193:E193"/>
    <mergeCell ref="F193:G193"/>
    <mergeCell ref="A192:C192"/>
    <mergeCell ref="D192:E192"/>
    <mergeCell ref="F192:G192"/>
    <mergeCell ref="B185:C185"/>
    <mergeCell ref="D185:E185"/>
    <mergeCell ref="F184:G185"/>
    <mergeCell ref="B184:C184"/>
    <mergeCell ref="D184:E184"/>
    <mergeCell ref="B169:C169"/>
    <mergeCell ref="D169:E169"/>
    <mergeCell ref="F169:G169"/>
    <mergeCell ref="F178:G179"/>
    <mergeCell ref="B179:C179"/>
    <mergeCell ref="D179:E179"/>
    <mergeCell ref="F177:G177"/>
    <mergeCell ref="B178:C178"/>
    <mergeCell ref="D178:E178"/>
    <mergeCell ref="A171:G171"/>
    <mergeCell ref="B165:C165"/>
    <mergeCell ref="D165:E165"/>
    <mergeCell ref="F165:G165"/>
    <mergeCell ref="B167:C167"/>
    <mergeCell ref="D167:E167"/>
    <mergeCell ref="F167:G167"/>
    <mergeCell ref="B186:C186"/>
    <mergeCell ref="D186:E186"/>
    <mergeCell ref="F186:G186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B182:C182"/>
    <mergeCell ref="D182:E182"/>
    <mergeCell ref="B177:C177"/>
    <mergeCell ref="D177:E177"/>
    <mergeCell ref="B166:C166"/>
    <mergeCell ref="D166:E166"/>
    <mergeCell ref="F166:G166"/>
    <mergeCell ref="A5:G5"/>
    <mergeCell ref="B9:C9"/>
    <mergeCell ref="D9:E9"/>
    <mergeCell ref="F9:G9"/>
    <mergeCell ref="A116:A117"/>
    <mergeCell ref="B116:C117"/>
    <mergeCell ref="D116:E117"/>
    <mergeCell ref="F116:G117"/>
    <mergeCell ref="A13:G13"/>
    <mergeCell ref="A15:G15"/>
    <mergeCell ref="A19:A21"/>
    <mergeCell ref="B19:B21"/>
    <mergeCell ref="C19:F19"/>
    <mergeCell ref="G19:G21"/>
    <mergeCell ref="C20:C21"/>
    <mergeCell ref="D20:F20"/>
    <mergeCell ref="A38:G38"/>
    <mergeCell ref="A42:G42"/>
    <mergeCell ref="A47:G47"/>
    <mergeCell ref="A56:G56"/>
    <mergeCell ref="A60:G60"/>
    <mergeCell ref="A70:G70"/>
    <mergeCell ref="A78:G78"/>
    <mergeCell ref="A31:G31"/>
    <mergeCell ref="A121:G121"/>
    <mergeCell ref="A137:G137"/>
    <mergeCell ref="B140:C140"/>
    <mergeCell ref="C125:D125"/>
    <mergeCell ref="E1:G1"/>
    <mergeCell ref="A2:G2"/>
    <mergeCell ref="A4:G4"/>
    <mergeCell ref="B10:C10"/>
    <mergeCell ref="D10:E10"/>
    <mergeCell ref="F10:G10"/>
    <mergeCell ref="B11:C11"/>
    <mergeCell ref="D11:E11"/>
    <mergeCell ref="F11:G11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B135:C135"/>
    <mergeCell ref="D135:E135"/>
    <mergeCell ref="F135:G135"/>
    <mergeCell ref="B133:C133"/>
    <mergeCell ref="D133:E133"/>
    <mergeCell ref="F133:G133"/>
    <mergeCell ref="B134:C134"/>
    <mergeCell ref="D134:E134"/>
    <mergeCell ref="F134:G134"/>
    <mergeCell ref="D140:E140"/>
    <mergeCell ref="F140:G140"/>
    <mergeCell ref="B149:C149"/>
    <mergeCell ref="D149:E149"/>
    <mergeCell ref="F149:G149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55:C155"/>
    <mergeCell ref="D155:E155"/>
    <mergeCell ref="F155:G155"/>
    <mergeCell ref="B153:C153"/>
    <mergeCell ref="D153:E153"/>
    <mergeCell ref="F153:G153"/>
    <mergeCell ref="B154:C154"/>
    <mergeCell ref="D154:E154"/>
    <mergeCell ref="F154:G154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F162:G162"/>
    <mergeCell ref="F163:G163"/>
    <mergeCell ref="F164:G164"/>
    <mergeCell ref="F161:G161"/>
    <mergeCell ref="F285:G285"/>
    <mergeCell ref="B282:C282"/>
    <mergeCell ref="D306:E306"/>
    <mergeCell ref="F306:G306"/>
    <mergeCell ref="B307:C307"/>
    <mergeCell ref="D307:E307"/>
    <mergeCell ref="F307:G307"/>
    <mergeCell ref="B311:C311"/>
    <mergeCell ref="D311:E311"/>
    <mergeCell ref="F311:G311"/>
    <mergeCell ref="B308:C308"/>
    <mergeCell ref="D308:E308"/>
    <mergeCell ref="B294:C294"/>
    <mergeCell ref="D294:E294"/>
    <mergeCell ref="F294:G294"/>
    <mergeCell ref="B295:C295"/>
    <mergeCell ref="D295:E295"/>
    <mergeCell ref="F295:G295"/>
    <mergeCell ref="B296:C296"/>
    <mergeCell ref="D296:E296"/>
    <mergeCell ref="F296:G296"/>
    <mergeCell ref="B297:C297"/>
    <mergeCell ref="D297:E297"/>
    <mergeCell ref="F297:G297"/>
    <mergeCell ref="C323:D323"/>
    <mergeCell ref="F323:G323"/>
    <mergeCell ref="C316:D316"/>
    <mergeCell ref="F316:G316"/>
    <mergeCell ref="C317:D317"/>
    <mergeCell ref="F317:G317"/>
    <mergeCell ref="C319:D319"/>
    <mergeCell ref="F319:G319"/>
    <mergeCell ref="B312:C312"/>
    <mergeCell ref="D312:E312"/>
    <mergeCell ref="F312:G312"/>
    <mergeCell ref="B313:C313"/>
    <mergeCell ref="D313:E313"/>
    <mergeCell ref="F313:G313"/>
    <mergeCell ref="C320:D320"/>
    <mergeCell ref="F320:G320"/>
    <mergeCell ref="C322:D322"/>
    <mergeCell ref="F322:G322"/>
    <mergeCell ref="B298:C298"/>
    <mergeCell ref="D298:E298"/>
    <mergeCell ref="B299:C299"/>
    <mergeCell ref="D299:E299"/>
    <mergeCell ref="B306:C306"/>
    <mergeCell ref="A223:C223"/>
    <mergeCell ref="D223:E223"/>
    <mergeCell ref="F223:G223"/>
    <mergeCell ref="F222:G222"/>
    <mergeCell ref="A224:C224"/>
    <mergeCell ref="D224:E224"/>
    <mergeCell ref="F224:G224"/>
    <mergeCell ref="A225:C225"/>
    <mergeCell ref="D225:E225"/>
    <mergeCell ref="F225:G225"/>
    <mergeCell ref="A260:C260"/>
    <mergeCell ref="D260:E260"/>
    <mergeCell ref="F260:G260"/>
    <mergeCell ref="A234:C234"/>
    <mergeCell ref="D234:E234"/>
    <mergeCell ref="F234:G234"/>
    <mergeCell ref="A235:C235"/>
    <mergeCell ref="D235:E235"/>
    <mergeCell ref="F235:G235"/>
    <mergeCell ref="A200:C200"/>
    <mergeCell ref="D200:E200"/>
    <mergeCell ref="F200:G200"/>
    <mergeCell ref="B168:C168"/>
    <mergeCell ref="D168:E168"/>
    <mergeCell ref="F168:G168"/>
    <mergeCell ref="F230:G230"/>
    <mergeCell ref="A231:C231"/>
    <mergeCell ref="D231:E231"/>
    <mergeCell ref="F231:G231"/>
    <mergeCell ref="A226:C226"/>
    <mergeCell ref="D226:E226"/>
    <mergeCell ref="F226:G226"/>
    <mergeCell ref="A219:C219"/>
    <mergeCell ref="D219:E219"/>
    <mergeCell ref="F219:G219"/>
    <mergeCell ref="A220:C220"/>
    <mergeCell ref="D220:E220"/>
    <mergeCell ref="F220:G220"/>
    <mergeCell ref="A221:C221"/>
    <mergeCell ref="D221:E221"/>
    <mergeCell ref="F221:G221"/>
    <mergeCell ref="A222:C222"/>
    <mergeCell ref="D222:E222"/>
    <mergeCell ref="A258:C258"/>
    <mergeCell ref="D258:E258"/>
    <mergeCell ref="A243:C243"/>
    <mergeCell ref="F237:G237"/>
    <mergeCell ref="A254:C254"/>
    <mergeCell ref="A256:C256"/>
    <mergeCell ref="F258:G258"/>
    <mergeCell ref="A252:C252"/>
    <mergeCell ref="D252:E252"/>
    <mergeCell ref="F252:G252"/>
    <mergeCell ref="A253:C253"/>
    <mergeCell ref="D253:E253"/>
    <mergeCell ref="F253:G253"/>
    <mergeCell ref="A237:C237"/>
    <mergeCell ref="D237:E237"/>
    <mergeCell ref="D256:E256"/>
    <mergeCell ref="F256:G256"/>
    <mergeCell ref="F245:G245"/>
    <mergeCell ref="D246:E246"/>
    <mergeCell ref="F246:G246"/>
    <mergeCell ref="D243:E243"/>
    <mergeCell ref="F243:G243"/>
    <mergeCell ref="D244:E244"/>
    <mergeCell ref="F244:G244"/>
    <mergeCell ref="F308:G308"/>
    <mergeCell ref="B309:C309"/>
    <mergeCell ref="D309:E309"/>
    <mergeCell ref="F309:G309"/>
    <mergeCell ref="B310:C310"/>
    <mergeCell ref="D310:E310"/>
    <mergeCell ref="F310:G310"/>
    <mergeCell ref="A245:C245"/>
    <mergeCell ref="D245:E245"/>
    <mergeCell ref="A263:C263"/>
    <mergeCell ref="D263:E263"/>
    <mergeCell ref="F263:G263"/>
    <mergeCell ref="A264:C264"/>
    <mergeCell ref="D264:E264"/>
    <mergeCell ref="F264:G264"/>
    <mergeCell ref="A261:C261"/>
    <mergeCell ref="D261:E261"/>
    <mergeCell ref="F261:G261"/>
    <mergeCell ref="A262:C262"/>
    <mergeCell ref="D262:E262"/>
    <mergeCell ref="F262:G262"/>
    <mergeCell ref="A259:C259"/>
    <mergeCell ref="D259:E259"/>
    <mergeCell ref="F259:G259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51" max="6" man="1"/>
    <brk id="112" max="6" man="1"/>
    <brk id="156" max="6" man="1"/>
    <brk id="217" max="6" man="1"/>
    <brk id="253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5"/>
  <sheetViews>
    <sheetView view="pageBreakPreview" zoomScale="85" zoomScaleNormal="85" zoomScaleSheetLayoutView="85" workbookViewId="0">
      <selection activeCell="A14" sqref="A14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2"/>
      <c r="F1" s="312"/>
      <c r="G1" s="312"/>
    </row>
    <row r="2" spans="1:11" ht="40.15" customHeight="1" x14ac:dyDescent="0.25">
      <c r="A2" s="284" t="s">
        <v>492</v>
      </c>
      <c r="B2" s="284"/>
      <c r="C2" s="284"/>
      <c r="D2" s="284"/>
      <c r="E2" s="284"/>
      <c r="F2" s="284"/>
      <c r="G2" s="284"/>
    </row>
    <row r="3" spans="1:11" ht="18.75" x14ac:dyDescent="0.25">
      <c r="A3" s="208"/>
      <c r="B3" s="208"/>
      <c r="C3" s="208"/>
      <c r="D3" s="208"/>
      <c r="E3" s="208"/>
      <c r="F3" s="208"/>
      <c r="G3" s="208"/>
    </row>
    <row r="4" spans="1:11" ht="35.450000000000003" customHeight="1" x14ac:dyDescent="0.25">
      <c r="A4" s="284" t="s">
        <v>493</v>
      </c>
      <c r="B4" s="284"/>
      <c r="C4" s="284"/>
      <c r="D4" s="284"/>
      <c r="E4" s="284"/>
      <c r="F4" s="284"/>
      <c r="G4" s="284"/>
    </row>
    <row r="5" spans="1:11" ht="43.9" customHeight="1" x14ac:dyDescent="0.25">
      <c r="A5" s="284" t="s">
        <v>174</v>
      </c>
      <c r="B5" s="284"/>
      <c r="C5" s="284"/>
      <c r="D5" s="284"/>
      <c r="E5" s="284"/>
      <c r="F5" s="284"/>
      <c r="G5" s="284"/>
    </row>
    <row r="6" spans="1:11" ht="18.75" x14ac:dyDescent="0.25">
      <c r="A6" s="208"/>
      <c r="B6" s="208"/>
      <c r="C6" s="208"/>
      <c r="D6" s="208"/>
      <c r="E6" s="208"/>
      <c r="F6" s="208"/>
      <c r="G6" s="2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206" t="s">
        <v>86</v>
      </c>
      <c r="B9" s="270" t="s">
        <v>172</v>
      </c>
      <c r="C9" s="270"/>
      <c r="D9" s="270" t="s">
        <v>173</v>
      </c>
      <c r="E9" s="270"/>
      <c r="F9" s="270" t="s">
        <v>171</v>
      </c>
      <c r="G9" s="270"/>
      <c r="K9" s="81"/>
    </row>
    <row r="10" spans="1:11" ht="18.75" x14ac:dyDescent="0.25">
      <c r="A10" s="206">
        <v>1</v>
      </c>
      <c r="B10" s="270">
        <v>2</v>
      </c>
      <c r="C10" s="270"/>
      <c r="D10" s="270">
        <v>3</v>
      </c>
      <c r="E10" s="270"/>
      <c r="F10" s="270">
        <v>4</v>
      </c>
      <c r="G10" s="270"/>
    </row>
    <row r="11" spans="1:11" ht="56.25" x14ac:dyDescent="0.25">
      <c r="A11" s="13" t="s">
        <v>170</v>
      </c>
      <c r="B11" s="270" t="s">
        <v>117</v>
      </c>
      <c r="C11" s="270"/>
      <c r="D11" s="270" t="s">
        <v>117</v>
      </c>
      <c r="E11" s="270"/>
      <c r="F11" s="273">
        <f>'гос.задание на 2023-2024 год '!E12</f>
        <v>164609021.74000001</v>
      </c>
      <c r="G11" s="273"/>
      <c r="H11" s="50"/>
      <c r="I11" s="50"/>
      <c r="J11" s="50"/>
      <c r="K11" s="50"/>
    </row>
    <row r="12" spans="1:11" ht="18.75" x14ac:dyDescent="0.25">
      <c r="A12" s="203"/>
    </row>
    <row r="13" spans="1:11" ht="48.6" customHeight="1" x14ac:dyDescent="0.25">
      <c r="A13" s="284" t="s">
        <v>494</v>
      </c>
      <c r="B13" s="284"/>
      <c r="C13" s="284"/>
      <c r="D13" s="284"/>
      <c r="E13" s="284"/>
      <c r="F13" s="284"/>
      <c r="G13" s="284"/>
    </row>
    <row r="14" spans="1:11" ht="18.75" x14ac:dyDescent="0.25">
      <c r="A14" s="8"/>
    </row>
    <row r="15" spans="1:11" ht="18.75" x14ac:dyDescent="0.25">
      <c r="A15" s="269" t="s">
        <v>189</v>
      </c>
      <c r="B15" s="269"/>
      <c r="C15" s="269"/>
      <c r="D15" s="269"/>
      <c r="E15" s="269"/>
      <c r="F15" s="269"/>
      <c r="G15" s="269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70" t="s">
        <v>76</v>
      </c>
      <c r="B19" s="270" t="s">
        <v>77</v>
      </c>
      <c r="C19" s="270" t="s">
        <v>78</v>
      </c>
      <c r="D19" s="270"/>
      <c r="E19" s="270"/>
      <c r="F19" s="270"/>
      <c r="G19" s="270" t="s">
        <v>79</v>
      </c>
    </row>
    <row r="20" spans="1:7" ht="18.75" x14ac:dyDescent="0.25">
      <c r="A20" s="270"/>
      <c r="B20" s="270"/>
      <c r="C20" s="270" t="s">
        <v>80</v>
      </c>
      <c r="D20" s="270" t="s">
        <v>6</v>
      </c>
      <c r="E20" s="270"/>
      <c r="F20" s="270"/>
      <c r="G20" s="270"/>
    </row>
    <row r="21" spans="1:7" ht="75" x14ac:dyDescent="0.25">
      <c r="A21" s="270"/>
      <c r="B21" s="270"/>
      <c r="C21" s="270"/>
      <c r="D21" s="12" t="s">
        <v>81</v>
      </c>
      <c r="E21" s="12" t="s">
        <v>82</v>
      </c>
      <c r="F21" s="12" t="s">
        <v>83</v>
      </c>
      <c r="G21" s="270"/>
    </row>
    <row r="22" spans="1:7" ht="18.75" x14ac:dyDescent="0.25">
      <c r="A22" s="206">
        <v>1</v>
      </c>
      <c r="B22" s="206">
        <v>2</v>
      </c>
      <c r="C22" s="206">
        <v>3</v>
      </c>
      <c r="D22" s="206">
        <v>4</v>
      </c>
      <c r="E22" s="206">
        <v>4</v>
      </c>
      <c r="F22" s="206">
        <v>5</v>
      </c>
      <c r="G22" s="20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6" si="0">D23+E23+F23</f>
        <v>55808</v>
      </c>
      <c r="D23" s="130">
        <v>17440</v>
      </c>
      <c r="E23" s="131"/>
      <c r="F23" s="132">
        <f>D23*220%</f>
        <v>38368</v>
      </c>
      <c r="G23" s="133">
        <f>C23*B23*12</f>
        <v>669696</v>
      </c>
    </row>
    <row r="24" spans="1:7" ht="31.5" x14ac:dyDescent="0.25">
      <c r="A24" s="134" t="s">
        <v>307</v>
      </c>
      <c r="B24" s="135">
        <v>1</v>
      </c>
      <c r="C24" s="130">
        <f t="shared" si="0"/>
        <v>45518.399999999994</v>
      </c>
      <c r="D24" s="136">
        <v>15696</v>
      </c>
      <c r="E24" s="131"/>
      <c r="F24" s="132">
        <f>D24*190%</f>
        <v>29822.399999999998</v>
      </c>
      <c r="G24" s="133">
        <f t="shared" ref="G24:G65" si="1">C24*B24*12</f>
        <v>546220.79999999993</v>
      </c>
    </row>
    <row r="25" spans="1:7" ht="63" x14ac:dyDescent="0.25">
      <c r="A25" s="137" t="s">
        <v>308</v>
      </c>
      <c r="B25" s="135">
        <v>1</v>
      </c>
      <c r="C25" s="130">
        <f t="shared" si="0"/>
        <v>45518.399999999994</v>
      </c>
      <c r="D25" s="136">
        <v>15696</v>
      </c>
      <c r="E25" s="131"/>
      <c r="F25" s="132">
        <f>D25*190%</f>
        <v>29822.399999999998</v>
      </c>
      <c r="G25" s="133">
        <f t="shared" si="1"/>
        <v>546220.79999999993</v>
      </c>
    </row>
    <row r="26" spans="1:7" ht="45.75" customHeight="1" x14ac:dyDescent="0.25">
      <c r="A26" s="134" t="s">
        <v>442</v>
      </c>
      <c r="B26" s="135">
        <v>1</v>
      </c>
      <c r="C26" s="130">
        <f t="shared" si="0"/>
        <v>47088</v>
      </c>
      <c r="D26" s="136">
        <v>15696</v>
      </c>
      <c r="E26" s="131"/>
      <c r="F26" s="132">
        <f>D26*200%</f>
        <v>31392</v>
      </c>
      <c r="G26" s="133">
        <f t="shared" si="1"/>
        <v>565056</v>
      </c>
    </row>
    <row r="27" spans="1:7" ht="15" customHeight="1" x14ac:dyDescent="0.25">
      <c r="A27" s="134" t="s">
        <v>338</v>
      </c>
      <c r="B27" s="135">
        <v>1</v>
      </c>
      <c r="C27" s="130">
        <f t="shared" si="0"/>
        <v>41010</v>
      </c>
      <c r="D27" s="136">
        <v>13670</v>
      </c>
      <c r="E27" s="131"/>
      <c r="F27" s="132">
        <f>D27*200%</f>
        <v>27340</v>
      </c>
      <c r="G27" s="133">
        <f t="shared" si="1"/>
        <v>492120</v>
      </c>
    </row>
    <row r="28" spans="1:7" ht="15.75" x14ac:dyDescent="0.25">
      <c r="A28" s="134" t="s">
        <v>309</v>
      </c>
      <c r="B28" s="135">
        <v>1</v>
      </c>
      <c r="C28" s="130">
        <f t="shared" si="0"/>
        <v>50227.200000000004</v>
      </c>
      <c r="D28" s="136">
        <v>15696</v>
      </c>
      <c r="E28" s="131"/>
      <c r="F28" s="132">
        <f>D28*220%</f>
        <v>34531.200000000004</v>
      </c>
      <c r="G28" s="133">
        <f t="shared" si="1"/>
        <v>602726.40000000002</v>
      </c>
    </row>
    <row r="29" spans="1:7" ht="15.75" x14ac:dyDescent="0.25">
      <c r="A29" s="134" t="s">
        <v>339</v>
      </c>
      <c r="B29" s="135">
        <v>1</v>
      </c>
      <c r="C29" s="130">
        <f>D29+E29+F29</f>
        <v>35420</v>
      </c>
      <c r="D29" s="136">
        <v>11000</v>
      </c>
      <c r="E29" s="131"/>
      <c r="F29" s="132">
        <f>D29*222%</f>
        <v>24420.000000000004</v>
      </c>
      <c r="G29" s="133">
        <f>C29*B29*12</f>
        <v>425040</v>
      </c>
    </row>
    <row r="30" spans="1:7" ht="15.75" x14ac:dyDescent="0.25">
      <c r="A30" s="180" t="s">
        <v>312</v>
      </c>
      <c r="B30" s="181">
        <f>SUM(B23:B29)</f>
        <v>7</v>
      </c>
      <c r="C30" s="182">
        <f>SUM(C23:C29)</f>
        <v>320590</v>
      </c>
      <c r="D30" s="183">
        <f>SUM(D23:D29)</f>
        <v>104894</v>
      </c>
      <c r="E30" s="147"/>
      <c r="F30" s="148">
        <f>SUM(F23:F29)</f>
        <v>215696</v>
      </c>
      <c r="G30" s="184">
        <f>SUM(G23:G29)</f>
        <v>3847079.9999999995</v>
      </c>
    </row>
    <row r="31" spans="1:7" ht="15.75" x14ac:dyDescent="0.25">
      <c r="A31" s="288" t="s">
        <v>361</v>
      </c>
      <c r="B31" s="289"/>
      <c r="C31" s="289"/>
      <c r="D31" s="289"/>
      <c r="E31" s="289"/>
      <c r="F31" s="289"/>
      <c r="G31" s="290"/>
    </row>
    <row r="32" spans="1:7" ht="15.75" x14ac:dyDescent="0.25">
      <c r="A32" s="134" t="s">
        <v>359</v>
      </c>
      <c r="B32" s="135">
        <v>1</v>
      </c>
      <c r="C32" s="130">
        <f t="shared" ref="C32" si="2">D32+E32+F32</f>
        <v>43744</v>
      </c>
      <c r="D32" s="136">
        <v>13670</v>
      </c>
      <c r="E32" s="131"/>
      <c r="F32" s="132">
        <f t="shared" ref="F32:F34" si="3">D32*220%</f>
        <v>30074.000000000004</v>
      </c>
      <c r="G32" s="133">
        <f>C32*B32*12</f>
        <v>524928</v>
      </c>
    </row>
    <row r="33" spans="1:7" ht="15.75" x14ac:dyDescent="0.25">
      <c r="A33" s="134" t="s">
        <v>310</v>
      </c>
      <c r="B33" s="135">
        <v>1</v>
      </c>
      <c r="C33" s="130">
        <f t="shared" si="0"/>
        <v>43744</v>
      </c>
      <c r="D33" s="136">
        <v>13670</v>
      </c>
      <c r="E33" s="131"/>
      <c r="F33" s="132">
        <f t="shared" si="3"/>
        <v>30074.000000000004</v>
      </c>
      <c r="G33" s="133">
        <f t="shared" si="1"/>
        <v>524928</v>
      </c>
    </row>
    <row r="34" spans="1:7" ht="15.75" x14ac:dyDescent="0.25">
      <c r="A34" s="134" t="s">
        <v>340</v>
      </c>
      <c r="B34" s="135">
        <v>1</v>
      </c>
      <c r="C34" s="130">
        <f t="shared" si="0"/>
        <v>43744</v>
      </c>
      <c r="D34" s="136">
        <v>13670</v>
      </c>
      <c r="E34" s="131"/>
      <c r="F34" s="132">
        <f t="shared" si="3"/>
        <v>30074.000000000004</v>
      </c>
      <c r="G34" s="133">
        <f t="shared" si="1"/>
        <v>524928</v>
      </c>
    </row>
    <row r="35" spans="1:7" ht="15.75" x14ac:dyDescent="0.25">
      <c r="A35" s="134" t="s">
        <v>362</v>
      </c>
      <c r="B35" s="135">
        <v>1</v>
      </c>
      <c r="C35" s="130">
        <f t="shared" si="0"/>
        <v>39180</v>
      </c>
      <c r="D35" s="136">
        <v>13060</v>
      </c>
      <c r="E35" s="131"/>
      <c r="F35" s="132">
        <f>D35*200%</f>
        <v>26120</v>
      </c>
      <c r="G35" s="133">
        <f t="shared" si="1"/>
        <v>470160</v>
      </c>
    </row>
    <row r="36" spans="1:7" ht="15.75" x14ac:dyDescent="0.25">
      <c r="A36" s="138" t="s">
        <v>355</v>
      </c>
      <c r="B36" s="139">
        <v>1</v>
      </c>
      <c r="C36" s="130">
        <f t="shared" si="0"/>
        <v>39180</v>
      </c>
      <c r="D36" s="140">
        <v>13060</v>
      </c>
      <c r="E36" s="131"/>
      <c r="F36" s="132">
        <f>D36*200%</f>
        <v>26120</v>
      </c>
      <c r="G36" s="133">
        <f>C36*B36*12</f>
        <v>470160</v>
      </c>
    </row>
    <row r="37" spans="1:7" ht="15.75" customHeight="1" x14ac:dyDescent="0.25">
      <c r="A37" s="141" t="s">
        <v>312</v>
      </c>
      <c r="B37" s="142">
        <f>SUM(B32:B36)</f>
        <v>5</v>
      </c>
      <c r="C37" s="143">
        <f>SUM(C32:C36)</f>
        <v>209592</v>
      </c>
      <c r="D37" s="143">
        <f>SUM(D32:D36)</f>
        <v>67130</v>
      </c>
      <c r="E37" s="143"/>
      <c r="F37" s="144">
        <f>SUM(F32:F36)</f>
        <v>142462</v>
      </c>
      <c r="G37" s="143">
        <f>SUM(G32:G36)</f>
        <v>2515104</v>
      </c>
    </row>
    <row r="38" spans="1:7" ht="15.75" customHeight="1" x14ac:dyDescent="0.25">
      <c r="A38" s="263" t="s">
        <v>313</v>
      </c>
      <c r="B38" s="264"/>
      <c r="C38" s="264"/>
      <c r="D38" s="264"/>
      <c r="E38" s="264"/>
      <c r="F38" s="264"/>
      <c r="G38" s="265"/>
    </row>
    <row r="39" spans="1:7" ht="15.75" x14ac:dyDescent="0.25">
      <c r="A39" s="145" t="s">
        <v>314</v>
      </c>
      <c r="B39" s="135">
        <v>1</v>
      </c>
      <c r="C39" s="136">
        <f>D39+E39+F39</f>
        <v>43744</v>
      </c>
      <c r="D39" s="136">
        <v>13670</v>
      </c>
      <c r="E39" s="131"/>
      <c r="F39" s="132">
        <f t="shared" ref="F39" si="4">D39*220%</f>
        <v>30074.000000000004</v>
      </c>
      <c r="G39" s="133">
        <f t="shared" si="1"/>
        <v>524928</v>
      </c>
    </row>
    <row r="40" spans="1:7" ht="15.75" x14ac:dyDescent="0.25">
      <c r="A40" s="145" t="s">
        <v>356</v>
      </c>
      <c r="B40" s="135">
        <v>1</v>
      </c>
      <c r="C40" s="136">
        <f>D40+E40+F40</f>
        <v>39180</v>
      </c>
      <c r="D40" s="136">
        <v>13060</v>
      </c>
      <c r="E40" s="131"/>
      <c r="F40" s="132">
        <f>D40*200%</f>
        <v>26120</v>
      </c>
      <c r="G40" s="133">
        <f>C40*B40*12</f>
        <v>470160</v>
      </c>
    </row>
    <row r="41" spans="1:7" ht="15.75" x14ac:dyDescent="0.25">
      <c r="A41" s="141" t="s">
        <v>312</v>
      </c>
      <c r="B41" s="142">
        <f>SUM(B39:B40)</f>
        <v>2</v>
      </c>
      <c r="C41" s="146">
        <f>SUM(C39:C40)</f>
        <v>82924</v>
      </c>
      <c r="D41" s="147">
        <f>SUM(D39:D40)</f>
        <v>26730</v>
      </c>
      <c r="E41" s="147">
        <f ca="1">SUM(E39:E45)</f>
        <v>0</v>
      </c>
      <c r="F41" s="148">
        <f>SUM(F39:F40)</f>
        <v>56194</v>
      </c>
      <c r="G41" s="143">
        <f>SUM(G39:G40)</f>
        <v>995088</v>
      </c>
    </row>
    <row r="42" spans="1:7" ht="15.75" x14ac:dyDescent="0.25">
      <c r="A42" s="263" t="s">
        <v>315</v>
      </c>
      <c r="B42" s="264"/>
      <c r="C42" s="264"/>
      <c r="D42" s="264"/>
      <c r="E42" s="264"/>
      <c r="F42" s="264"/>
      <c r="G42" s="265"/>
    </row>
    <row r="43" spans="1:7" ht="15.75" x14ac:dyDescent="0.25">
      <c r="A43" s="145" t="s">
        <v>316</v>
      </c>
      <c r="B43" s="135">
        <v>2</v>
      </c>
      <c r="C43" s="136">
        <f>D43+E43+F43</f>
        <v>28072</v>
      </c>
      <c r="D43" s="136">
        <v>12760</v>
      </c>
      <c r="E43" s="131"/>
      <c r="F43" s="132">
        <f>D43*120%</f>
        <v>15312</v>
      </c>
      <c r="G43" s="133">
        <f t="shared" si="1"/>
        <v>673728</v>
      </c>
    </row>
    <row r="44" spans="1:7" ht="15.75" x14ac:dyDescent="0.25">
      <c r="A44" s="145" t="s">
        <v>317</v>
      </c>
      <c r="B44" s="135">
        <v>7</v>
      </c>
      <c r="C44" s="136">
        <f>D44+E44+F44</f>
        <v>19108</v>
      </c>
      <c r="D44" s="136">
        <v>11240</v>
      </c>
      <c r="E44" s="131"/>
      <c r="F44" s="132">
        <f>D44*70%</f>
        <v>7867.9999999999991</v>
      </c>
      <c r="G44" s="133">
        <f t="shared" si="1"/>
        <v>1605072</v>
      </c>
    </row>
    <row r="45" spans="1:7" ht="15.75" x14ac:dyDescent="0.25">
      <c r="A45" s="145" t="s">
        <v>368</v>
      </c>
      <c r="B45" s="135">
        <v>3</v>
      </c>
      <c r="C45" s="136">
        <f>D45+E45+F45</f>
        <v>21135.5</v>
      </c>
      <c r="D45" s="136">
        <v>10310</v>
      </c>
      <c r="E45" s="131"/>
      <c r="F45" s="132">
        <f>D45*105%</f>
        <v>10825.5</v>
      </c>
      <c r="G45" s="133">
        <f>C45*B45*12</f>
        <v>760878</v>
      </c>
    </row>
    <row r="46" spans="1:7" ht="15.75" customHeight="1" x14ac:dyDescent="0.25">
      <c r="A46" s="141" t="s">
        <v>312</v>
      </c>
      <c r="B46" s="142">
        <f>SUM(B43:B45)</f>
        <v>12</v>
      </c>
      <c r="C46" s="146">
        <f>SUM(C43:C45)</f>
        <v>68315.5</v>
      </c>
      <c r="D46" s="146">
        <f>SUM(D43:D45)</f>
        <v>34310</v>
      </c>
      <c r="E46" s="146">
        <f t="shared" ref="E46" si="5">SUM(E43:E44)</f>
        <v>0</v>
      </c>
      <c r="F46" s="149">
        <f>SUM(F43:F45)</f>
        <v>34005.5</v>
      </c>
      <c r="G46" s="143">
        <f>SUM(G43:G45)</f>
        <v>3039678</v>
      </c>
    </row>
    <row r="47" spans="1:7" ht="30" customHeight="1" x14ac:dyDescent="0.25">
      <c r="A47" s="266" t="s">
        <v>318</v>
      </c>
      <c r="B47" s="267"/>
      <c r="C47" s="267"/>
      <c r="D47" s="267"/>
      <c r="E47" s="267"/>
      <c r="F47" s="267"/>
      <c r="G47" s="268"/>
    </row>
    <row r="48" spans="1:7" ht="47.25" x14ac:dyDescent="0.25">
      <c r="A48" s="145" t="s">
        <v>319</v>
      </c>
      <c r="B48" s="135">
        <v>2</v>
      </c>
      <c r="C48" s="136">
        <f t="shared" ref="C48:C54" si="6">D48+E48+F48</f>
        <v>32064</v>
      </c>
      <c r="D48" s="136">
        <v>13360</v>
      </c>
      <c r="E48" s="131"/>
      <c r="F48" s="132">
        <f>D48*140%</f>
        <v>18704</v>
      </c>
      <c r="G48" s="133">
        <f t="shared" si="1"/>
        <v>769536</v>
      </c>
    </row>
    <row r="49" spans="1:7" ht="15.75" x14ac:dyDescent="0.25">
      <c r="A49" s="145" t="s">
        <v>320</v>
      </c>
      <c r="B49" s="135">
        <v>3</v>
      </c>
      <c r="C49" s="136">
        <f t="shared" si="6"/>
        <v>32064</v>
      </c>
      <c r="D49" s="136">
        <v>13360</v>
      </c>
      <c r="E49" s="131"/>
      <c r="F49" s="132">
        <f>D49*140%</f>
        <v>18704</v>
      </c>
      <c r="G49" s="133">
        <f>C49*B49*12</f>
        <v>1154304</v>
      </c>
    </row>
    <row r="50" spans="1:7" ht="15.75" x14ac:dyDescent="0.25">
      <c r="A50" s="145" t="s">
        <v>321</v>
      </c>
      <c r="B50" s="135">
        <v>2</v>
      </c>
      <c r="C50" s="136">
        <f t="shared" si="6"/>
        <v>34188</v>
      </c>
      <c r="D50" s="136">
        <v>12210</v>
      </c>
      <c r="E50" s="131"/>
      <c r="F50" s="132">
        <f>D50*180%</f>
        <v>21978</v>
      </c>
      <c r="G50" s="133">
        <f t="shared" si="1"/>
        <v>820512</v>
      </c>
    </row>
    <row r="51" spans="1:7" ht="15.75" x14ac:dyDescent="0.25">
      <c r="A51" s="145" t="s">
        <v>322</v>
      </c>
      <c r="B51" s="135">
        <v>7</v>
      </c>
      <c r="C51" s="136">
        <f t="shared" si="6"/>
        <v>33956</v>
      </c>
      <c r="D51" s="136">
        <v>13060</v>
      </c>
      <c r="E51" s="131"/>
      <c r="F51" s="132">
        <f>D51*160%</f>
        <v>20896</v>
      </c>
      <c r="G51" s="133">
        <f>C51*B51*12</f>
        <v>2852304</v>
      </c>
    </row>
    <row r="52" spans="1:7" ht="31.5" x14ac:dyDescent="0.25">
      <c r="A52" s="138" t="s">
        <v>311</v>
      </c>
      <c r="B52" s="139">
        <v>1</v>
      </c>
      <c r="C52" s="130">
        <f t="shared" si="6"/>
        <v>33956</v>
      </c>
      <c r="D52" s="140">
        <v>13060</v>
      </c>
      <c r="E52" s="131"/>
      <c r="F52" s="132">
        <f>D52*160%</f>
        <v>20896</v>
      </c>
      <c r="G52" s="133">
        <f>C52*B52*12</f>
        <v>407472</v>
      </c>
    </row>
    <row r="53" spans="1:7" ht="15.75" customHeight="1" x14ac:dyDescent="0.25">
      <c r="A53" s="162" t="s">
        <v>365</v>
      </c>
      <c r="B53" s="135">
        <v>1</v>
      </c>
      <c r="C53" s="136">
        <f t="shared" si="6"/>
        <v>26862</v>
      </c>
      <c r="D53" s="136">
        <v>12210</v>
      </c>
      <c r="E53" s="131"/>
      <c r="F53" s="132">
        <f>D53*120%</f>
        <v>14652</v>
      </c>
      <c r="G53" s="133">
        <f>C53*B53*12</f>
        <v>322344</v>
      </c>
    </row>
    <row r="54" spans="1:7" ht="15.75" x14ac:dyDescent="0.25">
      <c r="A54" s="162" t="s">
        <v>334</v>
      </c>
      <c r="B54" s="135">
        <v>1</v>
      </c>
      <c r="C54" s="136">
        <f t="shared" si="6"/>
        <v>32967</v>
      </c>
      <c r="D54" s="136">
        <v>12210</v>
      </c>
      <c r="E54" s="131"/>
      <c r="F54" s="132">
        <f>D54*170%</f>
        <v>20757</v>
      </c>
      <c r="G54" s="133">
        <f>C54*B54*12</f>
        <v>395604</v>
      </c>
    </row>
    <row r="55" spans="1:7" ht="15.75" x14ac:dyDescent="0.25">
      <c r="A55" s="141" t="s">
        <v>312</v>
      </c>
      <c r="B55" s="142">
        <f>SUM(B48:B54)</f>
        <v>17</v>
      </c>
      <c r="C55" s="146">
        <f>SUM(C48:C54)</f>
        <v>226057</v>
      </c>
      <c r="D55" s="146">
        <f>SUM(D48:D54)</f>
        <v>89470</v>
      </c>
      <c r="E55" s="146">
        <f>SUM(E48:E54)</f>
        <v>0</v>
      </c>
      <c r="F55" s="146">
        <f t="shared" ref="F55:G55" si="7">SUM(F48:F54)</f>
        <v>136587</v>
      </c>
      <c r="G55" s="146">
        <f t="shared" si="7"/>
        <v>6722076</v>
      </c>
    </row>
    <row r="56" spans="1:7" ht="15.75" customHeight="1" x14ac:dyDescent="0.25">
      <c r="A56" s="263" t="s">
        <v>323</v>
      </c>
      <c r="B56" s="264"/>
      <c r="C56" s="264"/>
      <c r="D56" s="264"/>
      <c r="E56" s="264"/>
      <c r="F56" s="264"/>
      <c r="G56" s="265"/>
    </row>
    <row r="57" spans="1:7" ht="15.75" x14ac:dyDescent="0.25">
      <c r="A57" s="145" t="s">
        <v>324</v>
      </c>
      <c r="B57" s="135">
        <v>2</v>
      </c>
      <c r="C57" s="136">
        <f>D57+E57+F57</f>
        <v>28083</v>
      </c>
      <c r="D57" s="136">
        <v>12210</v>
      </c>
      <c r="E57" s="131"/>
      <c r="F57" s="132">
        <f>D57*130%</f>
        <v>15873</v>
      </c>
      <c r="G57" s="133">
        <f t="shared" si="1"/>
        <v>673992</v>
      </c>
    </row>
    <row r="58" spans="1:7" ht="15.75" x14ac:dyDescent="0.25">
      <c r="A58" s="145" t="s">
        <v>325</v>
      </c>
      <c r="B58" s="135">
        <v>4</v>
      </c>
      <c r="C58" s="136">
        <f>D58+E58+F58</f>
        <v>28083</v>
      </c>
      <c r="D58" s="136">
        <v>12210</v>
      </c>
      <c r="E58" s="131"/>
      <c r="F58" s="132">
        <f>D58*130%</f>
        <v>15873</v>
      </c>
      <c r="G58" s="133">
        <f t="shared" si="1"/>
        <v>1347984</v>
      </c>
    </row>
    <row r="59" spans="1:7" ht="15.75" x14ac:dyDescent="0.25">
      <c r="A59" s="141" t="s">
        <v>312</v>
      </c>
      <c r="B59" s="142">
        <f t="shared" ref="B59:G59" si="8">SUM(B57:B58)</f>
        <v>6</v>
      </c>
      <c r="C59" s="146">
        <f t="shared" si="8"/>
        <v>56166</v>
      </c>
      <c r="D59" s="147">
        <f t="shared" si="8"/>
        <v>24420</v>
      </c>
      <c r="E59" s="147">
        <f t="shared" si="8"/>
        <v>0</v>
      </c>
      <c r="F59" s="148">
        <f t="shared" si="8"/>
        <v>31746</v>
      </c>
      <c r="G59" s="143">
        <f t="shared" si="8"/>
        <v>2021976</v>
      </c>
    </row>
    <row r="60" spans="1:7" ht="15.75" x14ac:dyDescent="0.25">
      <c r="A60" s="285" t="s">
        <v>326</v>
      </c>
      <c r="B60" s="286"/>
      <c r="C60" s="286"/>
      <c r="D60" s="286"/>
      <c r="E60" s="286"/>
      <c r="F60" s="286"/>
      <c r="G60" s="287"/>
    </row>
    <row r="61" spans="1:7" ht="31.5" x14ac:dyDescent="0.25">
      <c r="A61" s="145" t="s">
        <v>337</v>
      </c>
      <c r="B61" s="135">
        <v>1</v>
      </c>
      <c r="C61" s="136">
        <f t="shared" ref="C61:C67" si="9">D61+E61+F61</f>
        <v>36322</v>
      </c>
      <c r="D61" s="136">
        <v>13970</v>
      </c>
      <c r="E61" s="131"/>
      <c r="F61" s="132">
        <f>D61*160%</f>
        <v>22352</v>
      </c>
      <c r="G61" s="133">
        <f t="shared" ref="G61" si="10">C61*B61*12</f>
        <v>435864</v>
      </c>
    </row>
    <row r="62" spans="1:7" ht="15.75" x14ac:dyDescent="0.25">
      <c r="A62" s="145" t="s">
        <v>335</v>
      </c>
      <c r="B62" s="135">
        <v>1</v>
      </c>
      <c r="C62" s="136">
        <f t="shared" si="9"/>
        <v>25641</v>
      </c>
      <c r="D62" s="136">
        <v>12210</v>
      </c>
      <c r="E62" s="131"/>
      <c r="F62" s="132">
        <f t="shared" ref="F62" si="11">D62*110%</f>
        <v>13431.000000000002</v>
      </c>
      <c r="G62" s="133">
        <f t="shared" si="1"/>
        <v>307692</v>
      </c>
    </row>
    <row r="63" spans="1:7" ht="31.5" x14ac:dyDescent="0.25">
      <c r="A63" s="145" t="s">
        <v>336</v>
      </c>
      <c r="B63" s="135">
        <v>2</v>
      </c>
      <c r="C63" s="136">
        <f>D63+E63+F63</f>
        <v>21540</v>
      </c>
      <c r="D63" s="136">
        <v>10770</v>
      </c>
      <c r="E63" s="131"/>
      <c r="F63" s="132">
        <f>D63*100%</f>
        <v>10770</v>
      </c>
      <c r="G63" s="133">
        <f>C63*B63*12</f>
        <v>516960</v>
      </c>
    </row>
    <row r="64" spans="1:7" ht="15.75" x14ac:dyDescent="0.25">
      <c r="A64" s="145" t="s">
        <v>327</v>
      </c>
      <c r="B64" s="135">
        <v>2</v>
      </c>
      <c r="C64" s="136">
        <f t="shared" si="9"/>
        <v>21540</v>
      </c>
      <c r="D64" s="136">
        <v>10770</v>
      </c>
      <c r="E64" s="131"/>
      <c r="F64" s="132">
        <f>D64*100%</f>
        <v>10770</v>
      </c>
      <c r="G64" s="133">
        <f t="shared" si="1"/>
        <v>516960</v>
      </c>
    </row>
    <row r="65" spans="1:9" ht="15.75" x14ac:dyDescent="0.25">
      <c r="A65" s="145" t="s">
        <v>328</v>
      </c>
      <c r="B65" s="135">
        <v>8</v>
      </c>
      <c r="C65" s="136">
        <f t="shared" si="9"/>
        <v>18500</v>
      </c>
      <c r="D65" s="136">
        <v>9250</v>
      </c>
      <c r="E65" s="131"/>
      <c r="F65" s="132">
        <f>D65*100%</f>
        <v>9250</v>
      </c>
      <c r="G65" s="133">
        <f t="shared" si="1"/>
        <v>1776000</v>
      </c>
    </row>
    <row r="66" spans="1:9" ht="31.5" x14ac:dyDescent="0.25">
      <c r="A66" s="145" t="s">
        <v>329</v>
      </c>
      <c r="B66" s="135">
        <v>3</v>
      </c>
      <c r="C66" s="136">
        <f t="shared" si="9"/>
        <v>18500</v>
      </c>
      <c r="D66" s="136">
        <v>9250</v>
      </c>
      <c r="E66" s="131"/>
      <c r="F66" s="132">
        <f>D66*100%</f>
        <v>9250</v>
      </c>
      <c r="G66" s="133">
        <f>C66*B66*12</f>
        <v>666000</v>
      </c>
    </row>
    <row r="67" spans="1:9" ht="15.75" x14ac:dyDescent="0.25">
      <c r="A67" s="150" t="s">
        <v>330</v>
      </c>
      <c r="B67" s="151">
        <v>1</v>
      </c>
      <c r="C67" s="136">
        <f t="shared" si="9"/>
        <v>28988.5</v>
      </c>
      <c r="D67" s="152">
        <v>11240</v>
      </c>
      <c r="E67" s="131"/>
      <c r="F67" s="132">
        <f>D67*150%+888.5</f>
        <v>17748.5</v>
      </c>
      <c r="G67" s="133">
        <f>C67*B67*12</f>
        <v>347862</v>
      </c>
    </row>
    <row r="68" spans="1:9" ht="16.5" thickBot="1" x14ac:dyDescent="0.3">
      <c r="A68" s="153" t="s">
        <v>312</v>
      </c>
      <c r="B68" s="154">
        <f t="shared" ref="B68" si="12">SUM(B61:B67)</f>
        <v>18</v>
      </c>
      <c r="C68" s="155">
        <f>SUM(C61:C67)</f>
        <v>171031.5</v>
      </c>
      <c r="D68" s="155">
        <f>SUM(D61:D67)</f>
        <v>77460</v>
      </c>
      <c r="E68" s="155"/>
      <c r="F68" s="156">
        <f>SUM(F61:F67)</f>
        <v>93571.5</v>
      </c>
      <c r="G68" s="157">
        <f>SUM(G61:G67)</f>
        <v>4567338</v>
      </c>
    </row>
    <row r="69" spans="1:9" ht="16.5" thickBot="1" x14ac:dyDescent="0.3">
      <c r="A69" s="158" t="s">
        <v>331</v>
      </c>
      <c r="B69" s="159">
        <f>B30+B37+B41+B46+B55+B59+B68</f>
        <v>67</v>
      </c>
      <c r="C69" s="160">
        <f>C30+C37+C41+C46+C55+C59+C68</f>
        <v>1134676</v>
      </c>
      <c r="D69" s="160">
        <f>D30+D37+D41+D46+D55+D59+D68</f>
        <v>424414</v>
      </c>
      <c r="E69" s="160"/>
      <c r="F69" s="160">
        <f>F30+F37+F41+F46+F55+F59+F68</f>
        <v>710262</v>
      </c>
      <c r="G69" s="160">
        <f>G30+G37+G41+G46+G55+G59+G68</f>
        <v>23708340</v>
      </c>
    </row>
    <row r="70" spans="1:9" ht="15.75" x14ac:dyDescent="0.25">
      <c r="A70" s="291" t="s">
        <v>357</v>
      </c>
      <c r="B70" s="292"/>
      <c r="C70" s="292"/>
      <c r="D70" s="292"/>
      <c r="E70" s="292"/>
      <c r="F70" s="292"/>
      <c r="G70" s="293"/>
    </row>
    <row r="71" spans="1:9" ht="15.75" x14ac:dyDescent="0.25">
      <c r="A71" s="128" t="s">
        <v>358</v>
      </c>
      <c r="B71" s="129">
        <v>1</v>
      </c>
      <c r="C71" s="130">
        <f t="shared" ref="C71:C76" si="13">D71+E71+F71</f>
        <v>49402</v>
      </c>
      <c r="D71" s="130">
        <v>14530</v>
      </c>
      <c r="E71" s="131"/>
      <c r="F71" s="132">
        <f>D71*240%</f>
        <v>34872</v>
      </c>
      <c r="G71" s="133">
        <f>C71*B71*12</f>
        <v>592824</v>
      </c>
    </row>
    <row r="72" spans="1:9" ht="15.75" x14ac:dyDescent="0.25">
      <c r="A72" s="134" t="s">
        <v>338</v>
      </c>
      <c r="B72" s="135">
        <v>1</v>
      </c>
      <c r="C72" s="130">
        <f t="shared" si="13"/>
        <v>42377</v>
      </c>
      <c r="D72" s="136">
        <v>13670</v>
      </c>
      <c r="E72" s="131"/>
      <c r="F72" s="132">
        <f>D72*210%</f>
        <v>28707</v>
      </c>
      <c r="G72" s="133">
        <f t="shared" ref="G72:G74" si="14">C72*B72*12</f>
        <v>508524</v>
      </c>
    </row>
    <row r="73" spans="1:9" ht="15.75" x14ac:dyDescent="0.25">
      <c r="A73" s="134" t="s">
        <v>486</v>
      </c>
      <c r="B73" s="135">
        <v>1</v>
      </c>
      <c r="C73" s="130">
        <f t="shared" si="13"/>
        <v>32967</v>
      </c>
      <c r="D73" s="136">
        <v>12210</v>
      </c>
      <c r="E73" s="131"/>
      <c r="F73" s="132">
        <f>D73*170%</f>
        <v>20757</v>
      </c>
      <c r="G73" s="133">
        <f t="shared" si="14"/>
        <v>395604</v>
      </c>
    </row>
    <row r="74" spans="1:9" ht="15.75" x14ac:dyDescent="0.25">
      <c r="A74" s="134" t="s">
        <v>360</v>
      </c>
      <c r="B74" s="135">
        <v>1</v>
      </c>
      <c r="C74" s="130">
        <f t="shared" si="13"/>
        <v>33956</v>
      </c>
      <c r="D74" s="136">
        <v>13060</v>
      </c>
      <c r="E74" s="131"/>
      <c r="F74" s="132">
        <f>D74*160%</f>
        <v>20896</v>
      </c>
      <c r="G74" s="133">
        <f t="shared" si="14"/>
        <v>407472</v>
      </c>
    </row>
    <row r="75" spans="1:9" ht="15.75" x14ac:dyDescent="0.25">
      <c r="A75" s="128" t="s">
        <v>487</v>
      </c>
      <c r="B75" s="129">
        <v>1</v>
      </c>
      <c r="C75" s="130">
        <f t="shared" si="13"/>
        <v>28868</v>
      </c>
      <c r="D75" s="130">
        <v>10310</v>
      </c>
      <c r="E75" s="131"/>
      <c r="F75" s="132">
        <f>D75*180%</f>
        <v>18558</v>
      </c>
      <c r="G75" s="133">
        <f>C75*B75*12</f>
        <v>346416</v>
      </c>
    </row>
    <row r="76" spans="1:9" ht="15.75" x14ac:dyDescent="0.25">
      <c r="A76" s="128" t="s">
        <v>355</v>
      </c>
      <c r="B76" s="129">
        <v>1</v>
      </c>
      <c r="C76" s="130">
        <f t="shared" si="13"/>
        <v>27426</v>
      </c>
      <c r="D76" s="130">
        <v>13060</v>
      </c>
      <c r="E76" s="131"/>
      <c r="F76" s="132">
        <f>D76*110%</f>
        <v>14366.000000000002</v>
      </c>
      <c r="G76" s="133">
        <f>C76*B76*12</f>
        <v>329112</v>
      </c>
    </row>
    <row r="77" spans="1:9" ht="15.75" x14ac:dyDescent="0.25">
      <c r="A77" s="141" t="s">
        <v>312</v>
      </c>
      <c r="B77" s="142">
        <f>SUM(B71:B76)</f>
        <v>6</v>
      </c>
      <c r="C77" s="143">
        <f>SUM(C71:C76)</f>
        <v>214996</v>
      </c>
      <c r="D77" s="143">
        <f>SUM(D71:D76)</f>
        <v>76840</v>
      </c>
      <c r="E77" s="143">
        <f>SUM(E75:E75)</f>
        <v>0</v>
      </c>
      <c r="F77" s="144">
        <f>SUM(F71:F76)</f>
        <v>138156</v>
      </c>
      <c r="G77" s="143">
        <f>SUM(G71:G76)</f>
        <v>2579952</v>
      </c>
    </row>
    <row r="78" spans="1:9" ht="15.75" x14ac:dyDescent="0.25">
      <c r="A78" s="263" t="s">
        <v>315</v>
      </c>
      <c r="B78" s="264"/>
      <c r="C78" s="264"/>
      <c r="D78" s="264"/>
      <c r="E78" s="264"/>
      <c r="F78" s="264"/>
      <c r="G78" s="265"/>
      <c r="H78" s="166"/>
      <c r="I78" s="166"/>
    </row>
    <row r="79" spans="1:9" ht="15.75" x14ac:dyDescent="0.25">
      <c r="A79" s="128" t="s">
        <v>359</v>
      </c>
      <c r="B79" s="129">
        <v>1</v>
      </c>
      <c r="C79" s="130">
        <f t="shared" ref="C79" si="15">D79+E79+F79</f>
        <v>42377</v>
      </c>
      <c r="D79" s="130">
        <v>13670</v>
      </c>
      <c r="E79" s="131"/>
      <c r="F79" s="132">
        <f>D79*210%</f>
        <v>28707</v>
      </c>
      <c r="G79" s="133">
        <f>C79*B79*12</f>
        <v>508524</v>
      </c>
      <c r="H79" s="167"/>
      <c r="I79" s="167"/>
    </row>
    <row r="80" spans="1:9" ht="15.75" x14ac:dyDescent="0.25">
      <c r="A80" s="145" t="s">
        <v>316</v>
      </c>
      <c r="B80" s="135">
        <v>2</v>
      </c>
      <c r="C80" s="136">
        <f>D80+E80+F80</f>
        <v>33176</v>
      </c>
      <c r="D80" s="136">
        <v>12760</v>
      </c>
      <c r="E80" s="131"/>
      <c r="F80" s="132">
        <f>D80*160%</f>
        <v>20416</v>
      </c>
      <c r="G80" s="133">
        <f t="shared" ref="G80:G81" si="16">C80*B80*12</f>
        <v>796224</v>
      </c>
      <c r="H80" s="168"/>
      <c r="I80" s="168"/>
    </row>
    <row r="81" spans="1:9" ht="15.75" x14ac:dyDescent="0.25">
      <c r="A81" s="145" t="s">
        <v>317</v>
      </c>
      <c r="B81" s="135">
        <v>9</v>
      </c>
      <c r="C81" s="136">
        <f>D81+E81+F81</f>
        <v>21356</v>
      </c>
      <c r="D81" s="136">
        <v>11240</v>
      </c>
      <c r="E81" s="131"/>
      <c r="F81" s="132">
        <f>D81*90%</f>
        <v>10116</v>
      </c>
      <c r="G81" s="133">
        <f t="shared" si="16"/>
        <v>2306448</v>
      </c>
      <c r="H81" s="168"/>
      <c r="I81" s="168"/>
    </row>
    <row r="82" spans="1:9" ht="15.75" customHeight="1" x14ac:dyDescent="0.25">
      <c r="A82" s="145" t="s">
        <v>368</v>
      </c>
      <c r="B82" s="135">
        <v>4</v>
      </c>
      <c r="C82" s="136">
        <f>D82+E82+F82</f>
        <v>22682</v>
      </c>
      <c r="D82" s="136">
        <v>10310</v>
      </c>
      <c r="E82" s="131"/>
      <c r="F82" s="132">
        <f>D82*120%</f>
        <v>12372</v>
      </c>
      <c r="G82" s="133">
        <f>C82*B82*12</f>
        <v>1088736</v>
      </c>
      <c r="H82" s="168"/>
      <c r="I82" s="168"/>
    </row>
    <row r="83" spans="1:9" ht="15.75" x14ac:dyDescent="0.25">
      <c r="A83" s="145" t="s">
        <v>332</v>
      </c>
      <c r="B83" s="135">
        <v>1</v>
      </c>
      <c r="C83" s="136">
        <f>D83+E83+F83</f>
        <v>22682</v>
      </c>
      <c r="D83" s="136">
        <v>10310</v>
      </c>
      <c r="E83" s="131"/>
      <c r="F83" s="132">
        <f>D83*120%</f>
        <v>12372</v>
      </c>
      <c r="G83" s="133">
        <f>C83*B83*12</f>
        <v>272184</v>
      </c>
      <c r="H83" s="168"/>
      <c r="I83" s="168"/>
    </row>
    <row r="84" spans="1:9" ht="15.75" x14ac:dyDescent="0.25">
      <c r="A84" s="141" t="s">
        <v>312</v>
      </c>
      <c r="B84" s="142">
        <f t="shared" ref="B84:G84" si="17">SUM(B79:B83)</f>
        <v>17</v>
      </c>
      <c r="C84" s="146">
        <f>SUM(C79:C83)</f>
        <v>142273</v>
      </c>
      <c r="D84" s="146">
        <f t="shared" si="17"/>
        <v>58290</v>
      </c>
      <c r="E84" s="146">
        <f t="shared" si="17"/>
        <v>0</v>
      </c>
      <c r="F84" s="149">
        <f t="shared" si="17"/>
        <v>83983</v>
      </c>
      <c r="G84" s="143">
        <f t="shared" si="17"/>
        <v>4972116</v>
      </c>
      <c r="H84" s="168"/>
      <c r="I84" s="168"/>
    </row>
    <row r="85" spans="1:9" ht="15.75" customHeight="1" x14ac:dyDescent="0.25">
      <c r="A85" s="266" t="s">
        <v>318</v>
      </c>
      <c r="B85" s="267"/>
      <c r="C85" s="267"/>
      <c r="D85" s="267"/>
      <c r="E85" s="267"/>
      <c r="F85" s="267"/>
      <c r="G85" s="268"/>
    </row>
    <row r="86" spans="1:9" ht="15.75" x14ac:dyDescent="0.25">
      <c r="A86" s="128" t="s">
        <v>359</v>
      </c>
      <c r="B86" s="129">
        <v>1</v>
      </c>
      <c r="C86" s="130">
        <f t="shared" ref="C86:C93" si="18">D86+E86+F86</f>
        <v>42377</v>
      </c>
      <c r="D86" s="130">
        <v>13670</v>
      </c>
      <c r="E86" s="131"/>
      <c r="F86" s="132">
        <f>D86*210%</f>
        <v>28707</v>
      </c>
      <c r="G86" s="133">
        <f>C86*B86*12</f>
        <v>508524</v>
      </c>
    </row>
    <row r="87" spans="1:9" ht="31.5" x14ac:dyDescent="0.25">
      <c r="A87" s="145" t="s">
        <v>333</v>
      </c>
      <c r="B87" s="135">
        <v>1</v>
      </c>
      <c r="C87" s="136">
        <f t="shared" si="18"/>
        <v>37408</v>
      </c>
      <c r="D87" s="136">
        <v>13360</v>
      </c>
      <c r="E87" s="131"/>
      <c r="F87" s="132">
        <f>D87*180%</f>
        <v>24048</v>
      </c>
      <c r="G87" s="133">
        <f t="shared" ref="G87:G90" si="19">C87*B87*12</f>
        <v>448896</v>
      </c>
    </row>
    <row r="88" spans="1:9" ht="31.5" x14ac:dyDescent="0.25">
      <c r="A88" s="145" t="s">
        <v>363</v>
      </c>
      <c r="B88" s="135">
        <v>1</v>
      </c>
      <c r="C88" s="136">
        <f t="shared" si="18"/>
        <v>37408</v>
      </c>
      <c r="D88" s="136">
        <v>13360</v>
      </c>
      <c r="E88" s="131"/>
      <c r="F88" s="132">
        <f>D88*180%</f>
        <v>24048</v>
      </c>
      <c r="G88" s="133">
        <f t="shared" si="19"/>
        <v>448896</v>
      </c>
    </row>
    <row r="89" spans="1:9" ht="15.75" x14ac:dyDescent="0.25">
      <c r="A89" s="145" t="s">
        <v>320</v>
      </c>
      <c r="B89" s="135">
        <v>3</v>
      </c>
      <c r="C89" s="136">
        <f t="shared" si="18"/>
        <v>37408</v>
      </c>
      <c r="D89" s="136">
        <v>13360</v>
      </c>
      <c r="E89" s="131"/>
      <c r="F89" s="132">
        <f>D89*180%</f>
        <v>24048</v>
      </c>
      <c r="G89" s="133">
        <f t="shared" si="19"/>
        <v>1346688</v>
      </c>
    </row>
    <row r="90" spans="1:9" ht="15.75" x14ac:dyDescent="0.25">
      <c r="A90" s="145" t="s">
        <v>321</v>
      </c>
      <c r="B90" s="135">
        <v>2</v>
      </c>
      <c r="C90" s="136">
        <f t="shared" si="18"/>
        <v>32967</v>
      </c>
      <c r="D90" s="136">
        <v>12210</v>
      </c>
      <c r="E90" s="131"/>
      <c r="F90" s="132">
        <f>D90*170%</f>
        <v>20757</v>
      </c>
      <c r="G90" s="133">
        <f t="shared" si="19"/>
        <v>791208</v>
      </c>
    </row>
    <row r="91" spans="1:9" ht="15.75" x14ac:dyDescent="0.25">
      <c r="A91" s="145" t="s">
        <v>322</v>
      </c>
      <c r="B91" s="135">
        <v>6</v>
      </c>
      <c r="C91" s="136">
        <f t="shared" si="18"/>
        <v>35262</v>
      </c>
      <c r="D91" s="136">
        <v>13060</v>
      </c>
      <c r="E91" s="131"/>
      <c r="F91" s="132">
        <f>D91*170%</f>
        <v>22202</v>
      </c>
      <c r="G91" s="133">
        <f>C91*B91*12</f>
        <v>2538864</v>
      </c>
    </row>
    <row r="92" spans="1:9" ht="31.5" x14ac:dyDescent="0.25">
      <c r="A92" s="145" t="s">
        <v>364</v>
      </c>
      <c r="B92" s="135">
        <v>1</v>
      </c>
      <c r="C92" s="136">
        <f t="shared" si="18"/>
        <v>33669</v>
      </c>
      <c r="D92" s="136">
        <v>12470</v>
      </c>
      <c r="E92" s="131"/>
      <c r="F92" s="132">
        <f>D92*170%</f>
        <v>21199</v>
      </c>
      <c r="G92" s="133">
        <f>C92*B92*12</f>
        <v>404028</v>
      </c>
    </row>
    <row r="93" spans="1:9" ht="15.75" customHeight="1" x14ac:dyDescent="0.25">
      <c r="A93" s="145" t="s">
        <v>365</v>
      </c>
      <c r="B93" s="135">
        <v>1</v>
      </c>
      <c r="C93" s="136">
        <f t="shared" si="18"/>
        <v>30525</v>
      </c>
      <c r="D93" s="136">
        <v>12210</v>
      </c>
      <c r="E93" s="131"/>
      <c r="F93" s="132">
        <f>D93*150%</f>
        <v>18315</v>
      </c>
      <c r="G93" s="133">
        <f>C93*B93*12</f>
        <v>366300</v>
      </c>
    </row>
    <row r="94" spans="1:9" ht="15.75" x14ac:dyDescent="0.25">
      <c r="A94" s="162" t="s">
        <v>334</v>
      </c>
      <c r="B94" s="135">
        <v>1</v>
      </c>
      <c r="C94" s="136">
        <f>D94+E94+F94</f>
        <v>31746</v>
      </c>
      <c r="D94" s="136">
        <v>12210</v>
      </c>
      <c r="E94" s="131"/>
      <c r="F94" s="132">
        <f>D94*160%</f>
        <v>19536</v>
      </c>
      <c r="G94" s="133">
        <f>C94*B94*12</f>
        <v>380952</v>
      </c>
    </row>
    <row r="95" spans="1:9" ht="31.5" x14ac:dyDescent="0.25">
      <c r="A95" s="138" t="s">
        <v>311</v>
      </c>
      <c r="B95" s="139">
        <v>1</v>
      </c>
      <c r="C95" s="130">
        <f>D95+E95+F95</f>
        <v>35262</v>
      </c>
      <c r="D95" s="140">
        <v>13060</v>
      </c>
      <c r="E95" s="131"/>
      <c r="F95" s="132">
        <f>D95*170%</f>
        <v>22202</v>
      </c>
      <c r="G95" s="133">
        <f>C95*B95*12</f>
        <v>423144</v>
      </c>
    </row>
    <row r="96" spans="1:9" ht="15.75" x14ac:dyDescent="0.25">
      <c r="A96" s="141" t="s">
        <v>312</v>
      </c>
      <c r="B96" s="142">
        <f>SUM(B86:B95)</f>
        <v>18</v>
      </c>
      <c r="C96" s="146">
        <f>SUM(C86:C95)</f>
        <v>354032</v>
      </c>
      <c r="D96" s="146">
        <f>SUM(D86:D95)</f>
        <v>128970</v>
      </c>
      <c r="E96" s="146">
        <f t="shared" ref="E96" si="20">SUM(E86:E93)</f>
        <v>0</v>
      </c>
      <c r="F96" s="149">
        <f>SUM(F86:F95)</f>
        <v>225062</v>
      </c>
      <c r="G96" s="143">
        <f>SUM(G86:G95)</f>
        <v>7657500</v>
      </c>
    </row>
    <row r="97" spans="1:7" ht="15.75" customHeight="1" x14ac:dyDescent="0.25">
      <c r="A97" s="263" t="s">
        <v>323</v>
      </c>
      <c r="B97" s="264"/>
      <c r="C97" s="264"/>
      <c r="D97" s="264"/>
      <c r="E97" s="264"/>
      <c r="F97" s="264"/>
      <c r="G97" s="265"/>
    </row>
    <row r="98" spans="1:7" ht="15.75" x14ac:dyDescent="0.25">
      <c r="A98" s="128" t="s">
        <v>359</v>
      </c>
      <c r="B98" s="129">
        <v>1</v>
      </c>
      <c r="C98" s="130">
        <f t="shared" ref="C98" si="21">D98+E98+F98</f>
        <v>41010</v>
      </c>
      <c r="D98" s="130">
        <v>13670</v>
      </c>
      <c r="E98" s="131"/>
      <c r="F98" s="132">
        <f>D98*200%</f>
        <v>27340</v>
      </c>
      <c r="G98" s="133">
        <f>C98*B98*12</f>
        <v>492120</v>
      </c>
    </row>
    <row r="99" spans="1:7" ht="15.75" x14ac:dyDescent="0.25">
      <c r="A99" s="145" t="s">
        <v>324</v>
      </c>
      <c r="B99" s="135">
        <v>3</v>
      </c>
      <c r="C99" s="136">
        <f>D99+E99+F99</f>
        <v>27472.5</v>
      </c>
      <c r="D99" s="136">
        <v>12210</v>
      </c>
      <c r="E99" s="131"/>
      <c r="F99" s="132">
        <f>D99*125%</f>
        <v>15262.5</v>
      </c>
      <c r="G99" s="133">
        <f>C99*B99*12</f>
        <v>989010</v>
      </c>
    </row>
    <row r="100" spans="1:7" ht="15.75" x14ac:dyDescent="0.25">
      <c r="A100" s="145" t="s">
        <v>325</v>
      </c>
      <c r="B100" s="135">
        <v>2</v>
      </c>
      <c r="C100" s="136">
        <f>D100+E100+F100</f>
        <v>28083</v>
      </c>
      <c r="D100" s="136">
        <v>12210</v>
      </c>
      <c r="E100" s="131"/>
      <c r="F100" s="132">
        <f>D100*130%</f>
        <v>15873</v>
      </c>
      <c r="G100" s="133">
        <f t="shared" ref="G100" si="22">C100*B100*12</f>
        <v>673992</v>
      </c>
    </row>
    <row r="101" spans="1:7" ht="15.75" x14ac:dyDescent="0.25">
      <c r="A101" s="141" t="s">
        <v>312</v>
      </c>
      <c r="B101" s="142">
        <f t="shared" ref="B101:G101" si="23">SUM(B98:B100)</f>
        <v>6</v>
      </c>
      <c r="C101" s="146">
        <f t="shared" si="23"/>
        <v>96565.5</v>
      </c>
      <c r="D101" s="147">
        <f t="shared" si="23"/>
        <v>38090</v>
      </c>
      <c r="E101" s="147">
        <f t="shared" si="23"/>
        <v>0</v>
      </c>
      <c r="F101" s="148">
        <f t="shared" si="23"/>
        <v>58475.5</v>
      </c>
      <c r="G101" s="143">
        <f t="shared" si="23"/>
        <v>2155122</v>
      </c>
    </row>
    <row r="102" spans="1:7" ht="15.75" x14ac:dyDescent="0.25">
      <c r="A102" s="285" t="s">
        <v>326</v>
      </c>
      <c r="B102" s="286"/>
      <c r="C102" s="286"/>
      <c r="D102" s="286"/>
      <c r="E102" s="286"/>
      <c r="F102" s="286"/>
      <c r="G102" s="287"/>
    </row>
    <row r="103" spans="1:7" ht="31.5" x14ac:dyDescent="0.25">
      <c r="A103" s="134" t="s">
        <v>337</v>
      </c>
      <c r="B103" s="135">
        <v>1</v>
      </c>
      <c r="C103" s="136">
        <f t="shared" ref="C103:C107" si="24">D103+E103+F103</f>
        <v>41910</v>
      </c>
      <c r="D103" s="136">
        <v>13970</v>
      </c>
      <c r="E103" s="131"/>
      <c r="F103" s="132">
        <f>D103*200%</f>
        <v>27940</v>
      </c>
      <c r="G103" s="133">
        <f t="shared" ref="G103:G104" si="25">C103*B103*12</f>
        <v>502920</v>
      </c>
    </row>
    <row r="104" spans="1:7" ht="15.75" x14ac:dyDescent="0.25">
      <c r="A104" s="145" t="s">
        <v>335</v>
      </c>
      <c r="B104" s="135">
        <v>1</v>
      </c>
      <c r="C104" s="136">
        <f t="shared" si="24"/>
        <v>26862</v>
      </c>
      <c r="D104" s="136">
        <v>12210</v>
      </c>
      <c r="E104" s="131"/>
      <c r="F104" s="132">
        <f>D104*120%</f>
        <v>14652</v>
      </c>
      <c r="G104" s="133">
        <f t="shared" si="25"/>
        <v>322344</v>
      </c>
    </row>
    <row r="105" spans="1:7" ht="31.5" x14ac:dyDescent="0.25">
      <c r="A105" s="145" t="s">
        <v>336</v>
      </c>
      <c r="B105" s="135">
        <v>2</v>
      </c>
      <c r="C105" s="136">
        <f t="shared" si="24"/>
        <v>23694</v>
      </c>
      <c r="D105" s="136">
        <v>10770</v>
      </c>
      <c r="E105" s="131"/>
      <c r="F105" s="132">
        <f>D105*120%</f>
        <v>12924</v>
      </c>
      <c r="G105" s="133">
        <f>C105*B105*12</f>
        <v>568656</v>
      </c>
    </row>
    <row r="106" spans="1:7" ht="15.75" x14ac:dyDescent="0.25">
      <c r="A106" s="145" t="s">
        <v>327</v>
      </c>
      <c r="B106" s="135">
        <v>2</v>
      </c>
      <c r="C106" s="136">
        <f t="shared" si="24"/>
        <v>23694</v>
      </c>
      <c r="D106" s="136">
        <v>10770</v>
      </c>
      <c r="E106" s="131"/>
      <c r="F106" s="132">
        <f>D106*120%</f>
        <v>12924</v>
      </c>
      <c r="G106" s="133">
        <f t="shared" ref="G106:G107" si="26">C106*B106*12</f>
        <v>568656</v>
      </c>
    </row>
    <row r="107" spans="1:7" ht="15.75" x14ac:dyDescent="0.25">
      <c r="A107" s="145" t="s">
        <v>328</v>
      </c>
      <c r="B107" s="135">
        <v>8</v>
      </c>
      <c r="C107" s="136">
        <f t="shared" si="24"/>
        <v>21275</v>
      </c>
      <c r="D107" s="136">
        <v>9250</v>
      </c>
      <c r="E107" s="131"/>
      <c r="F107" s="132">
        <f>D107*130%</f>
        <v>12025</v>
      </c>
      <c r="G107" s="133">
        <f t="shared" si="26"/>
        <v>2042400</v>
      </c>
    </row>
    <row r="108" spans="1:7" ht="31.5" x14ac:dyDescent="0.25">
      <c r="A108" s="134" t="s">
        <v>329</v>
      </c>
      <c r="B108" s="135">
        <v>2</v>
      </c>
      <c r="C108" s="136">
        <f>D108+E108+F108</f>
        <v>21275</v>
      </c>
      <c r="D108" s="136">
        <v>9250</v>
      </c>
      <c r="E108" s="131"/>
      <c r="F108" s="132">
        <f>D108*130%</f>
        <v>12025</v>
      </c>
      <c r="G108" s="133">
        <f>C108*B108*12</f>
        <v>510600</v>
      </c>
    </row>
    <row r="109" spans="1:7" ht="15.75" x14ac:dyDescent="0.25">
      <c r="A109" s="150" t="s">
        <v>330</v>
      </c>
      <c r="B109" s="151">
        <v>1</v>
      </c>
      <c r="C109" s="136">
        <f>D109+E109+F109</f>
        <v>28489.920000000002</v>
      </c>
      <c r="D109" s="152">
        <v>11240</v>
      </c>
      <c r="E109" s="131"/>
      <c r="F109" s="132">
        <f>D109*150%+446.75-23.245-33.585</f>
        <v>17249.920000000002</v>
      </c>
      <c r="G109" s="133">
        <f>C109*B109*12</f>
        <v>341879.04000000004</v>
      </c>
    </row>
    <row r="110" spans="1:7" ht="16.5" thickBot="1" x14ac:dyDescent="0.3">
      <c r="A110" s="153" t="s">
        <v>312</v>
      </c>
      <c r="B110" s="154">
        <f>SUM(B103:B109)</f>
        <v>17</v>
      </c>
      <c r="C110" s="155">
        <f>SUM(C103:C109)</f>
        <v>187199.92</v>
      </c>
      <c r="D110" s="155">
        <f>SUM(D103:D109)</f>
        <v>77460</v>
      </c>
      <c r="E110" s="155"/>
      <c r="F110" s="156">
        <f>SUM(F103:F109)</f>
        <v>109739.92</v>
      </c>
      <c r="G110" s="157">
        <f>SUM(G103:G109)</f>
        <v>4857455.04</v>
      </c>
    </row>
    <row r="111" spans="1:7" ht="16.5" thickBot="1" x14ac:dyDescent="0.3">
      <c r="A111" s="158" t="s">
        <v>366</v>
      </c>
      <c r="B111" s="159">
        <f>B110+B101+B96+B84+B77</f>
        <v>64</v>
      </c>
      <c r="C111" s="160">
        <f>C110+C101+C96+C84+C77</f>
        <v>995066.42</v>
      </c>
      <c r="D111" s="160">
        <f>D110+D101+D96+D84+D77</f>
        <v>379650</v>
      </c>
      <c r="E111" s="161"/>
      <c r="F111" s="160">
        <f>F110+F101+F96+F84+F77</f>
        <v>615416.41999999993</v>
      </c>
      <c r="G111" s="160">
        <f>G110+G101+G96+G84+G77</f>
        <v>22222145.039999999</v>
      </c>
    </row>
    <row r="112" spans="1:7" ht="16.5" thickBot="1" x14ac:dyDescent="0.3">
      <c r="A112" s="158" t="s">
        <v>367</v>
      </c>
      <c r="B112" s="159">
        <f>B111+B69</f>
        <v>131</v>
      </c>
      <c r="C112" s="161">
        <f>C111+C69</f>
        <v>2129742.42</v>
      </c>
      <c r="D112" s="161">
        <f>D111+D69</f>
        <v>804064</v>
      </c>
      <c r="E112" s="161"/>
      <c r="F112" s="161">
        <f>F111+F69</f>
        <v>1325678.42</v>
      </c>
      <c r="G112" s="161">
        <f>G111+G69</f>
        <v>45930485.039999999</v>
      </c>
    </row>
    <row r="113" spans="1:7" ht="18.75" x14ac:dyDescent="0.25">
      <c r="A113" s="205"/>
      <c r="B113" s="205"/>
      <c r="C113" s="205"/>
      <c r="D113" s="205"/>
      <c r="E113" s="205"/>
      <c r="F113" s="205"/>
      <c r="G113" s="205"/>
    </row>
    <row r="114" spans="1:7" ht="18.75" x14ac:dyDescent="0.3">
      <c r="A114" s="9" t="s">
        <v>145</v>
      </c>
      <c r="B114" s="10">
        <v>111.119</v>
      </c>
    </row>
    <row r="115" spans="1:7" x14ac:dyDescent="0.25">
      <c r="A115" s="11"/>
    </row>
    <row r="116" spans="1:7" ht="15" customHeight="1" x14ac:dyDescent="0.25">
      <c r="A116" s="327" t="s">
        <v>84</v>
      </c>
      <c r="B116" s="301" t="s">
        <v>244</v>
      </c>
      <c r="C116" s="302"/>
      <c r="D116" s="301" t="s">
        <v>185</v>
      </c>
      <c r="E116" s="302"/>
      <c r="F116" s="301" t="s">
        <v>85</v>
      </c>
      <c r="G116" s="302"/>
    </row>
    <row r="117" spans="1:7" ht="36.75" customHeight="1" x14ac:dyDescent="0.25">
      <c r="A117" s="328"/>
      <c r="B117" s="303"/>
      <c r="C117" s="304"/>
      <c r="D117" s="303"/>
      <c r="E117" s="304"/>
      <c r="F117" s="303"/>
      <c r="G117" s="304"/>
    </row>
    <row r="118" spans="1:7" ht="18.75" x14ac:dyDescent="0.25">
      <c r="A118" s="206">
        <v>1</v>
      </c>
      <c r="B118" s="250">
        <v>2</v>
      </c>
      <c r="C118" s="251"/>
      <c r="D118" s="250">
        <v>3</v>
      </c>
      <c r="E118" s="251"/>
      <c r="F118" s="250">
        <v>4</v>
      </c>
      <c r="G118" s="251"/>
    </row>
    <row r="119" spans="1:7" ht="18.75" x14ac:dyDescent="0.25">
      <c r="A119" s="13">
        <v>131</v>
      </c>
      <c r="B119" s="244">
        <f>'гос.задание на 2023-2024 год '!D26+'гос.задание на 2023-2024 год '!D28+'гос.задание на 2023-2024 год '!D65</f>
        <v>59786391.549999997</v>
      </c>
      <c r="C119" s="245"/>
      <c r="D119" s="244">
        <f>'гос.задание на 2023-2024 год '!E26+'гос.задание на 2023-2024 год '!E65</f>
        <v>45930485.039999999</v>
      </c>
      <c r="E119" s="245"/>
      <c r="F119" s="244">
        <f>B119-D119</f>
        <v>13855906.509999998</v>
      </c>
      <c r="G119" s="245"/>
    </row>
    <row r="120" spans="1:7" ht="18.75" x14ac:dyDescent="0.25">
      <c r="A120" s="8"/>
    </row>
    <row r="121" spans="1:7" ht="43.5" customHeight="1" x14ac:dyDescent="0.25">
      <c r="A121" s="271" t="s">
        <v>203</v>
      </c>
      <c r="B121" s="271"/>
      <c r="C121" s="271"/>
      <c r="D121" s="271"/>
      <c r="E121" s="271"/>
      <c r="F121" s="271"/>
      <c r="G121" s="271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206" t="s">
        <v>86</v>
      </c>
      <c r="B125" s="206" t="s">
        <v>87</v>
      </c>
      <c r="C125" s="250" t="s">
        <v>88</v>
      </c>
      <c r="D125" s="251"/>
      <c r="E125" s="206" t="s">
        <v>89</v>
      </c>
      <c r="F125" s="250" t="s">
        <v>90</v>
      </c>
      <c r="G125" s="251"/>
    </row>
    <row r="126" spans="1:7" ht="18.75" x14ac:dyDescent="0.25">
      <c r="A126" s="206">
        <v>1</v>
      </c>
      <c r="B126" s="206">
        <v>2</v>
      </c>
      <c r="C126" s="250">
        <v>3</v>
      </c>
      <c r="D126" s="251"/>
      <c r="E126" s="206">
        <v>4</v>
      </c>
      <c r="F126" s="250">
        <v>5</v>
      </c>
      <c r="G126" s="251"/>
    </row>
    <row r="127" spans="1:7" ht="18.75" x14ac:dyDescent="0.25">
      <c r="A127" s="13" t="s">
        <v>91</v>
      </c>
      <c r="B127" s="206">
        <v>10</v>
      </c>
      <c r="C127" s="244">
        <v>100</v>
      </c>
      <c r="D127" s="245"/>
      <c r="E127" s="206">
        <v>8</v>
      </c>
      <c r="F127" s="244">
        <f>'гос.задание на 2023-2024 год '!D27</f>
        <v>8000</v>
      </c>
      <c r="G127" s="245"/>
    </row>
    <row r="128" spans="1:7" ht="18.75" x14ac:dyDescent="0.25">
      <c r="A128" s="8"/>
    </row>
    <row r="129" spans="1:7" ht="45" customHeight="1" x14ac:dyDescent="0.25">
      <c r="A129" s="271" t="s">
        <v>207</v>
      </c>
      <c r="B129" s="271"/>
      <c r="C129" s="271"/>
      <c r="D129" s="271"/>
      <c r="E129" s="271"/>
      <c r="F129" s="271"/>
      <c r="G129" s="271"/>
    </row>
    <row r="130" spans="1:7" ht="18.75" x14ac:dyDescent="0.25">
      <c r="A130" s="207"/>
      <c r="B130" s="207"/>
      <c r="C130" s="207"/>
      <c r="D130" s="207"/>
      <c r="E130" s="207"/>
      <c r="F130" s="207"/>
      <c r="G130" s="207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206" t="s">
        <v>86</v>
      </c>
      <c r="B133" s="270" t="s">
        <v>99</v>
      </c>
      <c r="C133" s="270"/>
      <c r="D133" s="270" t="s">
        <v>100</v>
      </c>
      <c r="E133" s="270"/>
      <c r="F133" s="270" t="s">
        <v>101</v>
      </c>
      <c r="G133" s="270"/>
    </row>
    <row r="134" spans="1:7" ht="18.75" x14ac:dyDescent="0.3">
      <c r="A134" s="206">
        <v>1</v>
      </c>
      <c r="B134" s="250">
        <v>2</v>
      </c>
      <c r="C134" s="251"/>
      <c r="D134" s="250">
        <v>3</v>
      </c>
      <c r="E134" s="251"/>
      <c r="F134" s="258">
        <v>4</v>
      </c>
      <c r="G134" s="259"/>
    </row>
    <row r="135" spans="1:7" ht="56.25" x14ac:dyDescent="0.25">
      <c r="A135" s="13" t="s">
        <v>102</v>
      </c>
      <c r="B135" s="250">
        <v>24</v>
      </c>
      <c r="C135" s="251"/>
      <c r="D135" s="250">
        <v>2083.33</v>
      </c>
      <c r="E135" s="251"/>
      <c r="F135" s="294">
        <f>'гос.задание на 2023-2024 год '!D65</f>
        <v>49999.92</v>
      </c>
      <c r="G135" s="295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71" t="s">
        <v>226</v>
      </c>
      <c r="B137" s="271"/>
      <c r="C137" s="271"/>
      <c r="D137" s="271"/>
      <c r="E137" s="271"/>
      <c r="F137" s="271"/>
      <c r="G137" s="271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06" t="s">
        <v>86</v>
      </c>
      <c r="B140" s="270" t="s">
        <v>109</v>
      </c>
      <c r="C140" s="270"/>
      <c r="D140" s="270" t="s">
        <v>110</v>
      </c>
      <c r="E140" s="270"/>
      <c r="F140" s="270" t="s">
        <v>111</v>
      </c>
      <c r="G140" s="270"/>
    </row>
    <row r="141" spans="1:7" ht="18" customHeight="1" x14ac:dyDescent="0.25">
      <c r="A141" s="206">
        <v>1</v>
      </c>
      <c r="B141" s="250">
        <v>2</v>
      </c>
      <c r="C141" s="251"/>
      <c r="D141" s="278">
        <v>3</v>
      </c>
      <c r="E141" s="279"/>
      <c r="F141" s="278">
        <v>4</v>
      </c>
      <c r="G141" s="279"/>
    </row>
    <row r="142" spans="1:7" ht="18.75" x14ac:dyDescent="0.25">
      <c r="A142" s="13" t="s">
        <v>112</v>
      </c>
      <c r="B142" s="244">
        <v>811739347.27999997</v>
      </c>
      <c r="C142" s="245"/>
      <c r="D142" s="244">
        <v>2.2000000000000002</v>
      </c>
      <c r="E142" s="245"/>
      <c r="F142" s="280">
        <f>'гос.задание на 2023-2024 год '!D71</f>
        <v>19861943.379999999</v>
      </c>
      <c r="G142" s="281"/>
    </row>
    <row r="143" spans="1:7" ht="18.75" x14ac:dyDescent="0.25">
      <c r="A143" s="13" t="s">
        <v>113</v>
      </c>
      <c r="B143" s="244">
        <v>133578515.93000001</v>
      </c>
      <c r="C143" s="245"/>
      <c r="D143" s="244">
        <v>1.5</v>
      </c>
      <c r="E143" s="245"/>
      <c r="F143" s="282"/>
      <c r="G143" s="283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206" t="s">
        <v>86</v>
      </c>
      <c r="B147" s="270" t="s">
        <v>109</v>
      </c>
      <c r="C147" s="270"/>
      <c r="D147" s="270" t="s">
        <v>110</v>
      </c>
      <c r="E147" s="270"/>
      <c r="F147" s="270" t="s">
        <v>115</v>
      </c>
      <c r="G147" s="270"/>
    </row>
    <row r="148" spans="1:7" ht="18" customHeight="1" x14ac:dyDescent="0.3">
      <c r="A148" s="206">
        <v>1</v>
      </c>
      <c r="B148" s="250">
        <v>2</v>
      </c>
      <c r="C148" s="251"/>
      <c r="D148" s="250">
        <v>3</v>
      </c>
      <c r="E148" s="251"/>
      <c r="F148" s="258">
        <v>4</v>
      </c>
      <c r="G148" s="259"/>
    </row>
    <row r="149" spans="1:7" ht="18.75" x14ac:dyDescent="0.25">
      <c r="A149" s="13" t="s">
        <v>116</v>
      </c>
      <c r="B149" s="250" t="s">
        <v>117</v>
      </c>
      <c r="C149" s="251"/>
      <c r="D149" s="250" t="s">
        <v>117</v>
      </c>
      <c r="E149" s="251"/>
      <c r="F149" s="294">
        <f>'гос.задание на 2023-2024 год '!D72</f>
        <v>51650</v>
      </c>
      <c r="G149" s="296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206" t="s">
        <v>86</v>
      </c>
      <c r="B153" s="270" t="s">
        <v>109</v>
      </c>
      <c r="C153" s="270"/>
      <c r="D153" s="270" t="s">
        <v>110</v>
      </c>
      <c r="E153" s="270"/>
      <c r="F153" s="270" t="s">
        <v>115</v>
      </c>
      <c r="G153" s="270"/>
    </row>
    <row r="154" spans="1:7" ht="18.75" x14ac:dyDescent="0.3">
      <c r="A154" s="206">
        <v>1</v>
      </c>
      <c r="B154" s="250">
        <v>2</v>
      </c>
      <c r="C154" s="251"/>
      <c r="D154" s="250">
        <v>3</v>
      </c>
      <c r="E154" s="251"/>
      <c r="F154" s="258">
        <v>4</v>
      </c>
      <c r="G154" s="259"/>
    </row>
    <row r="155" spans="1:7" ht="37.5" x14ac:dyDescent="0.25">
      <c r="A155" s="13" t="s">
        <v>155</v>
      </c>
      <c r="B155" s="250" t="s">
        <v>117</v>
      </c>
      <c r="C155" s="251"/>
      <c r="D155" s="250" t="s">
        <v>117</v>
      </c>
      <c r="E155" s="251"/>
      <c r="F155" s="294">
        <f>'гос.задание на 2023-2024 год '!D73</f>
        <v>1300</v>
      </c>
      <c r="G155" s="295"/>
    </row>
    <row r="156" spans="1:7" ht="18.75" x14ac:dyDescent="0.25">
      <c r="A156" s="8"/>
    </row>
    <row r="157" spans="1:7" ht="18.75" x14ac:dyDescent="0.25">
      <c r="A157" s="269" t="s">
        <v>216</v>
      </c>
      <c r="B157" s="269"/>
      <c r="C157" s="269"/>
      <c r="D157" s="269"/>
      <c r="E157" s="269"/>
      <c r="F157" s="269"/>
      <c r="G157" s="269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206" t="s">
        <v>86</v>
      </c>
      <c r="B161" s="270" t="s">
        <v>121</v>
      </c>
      <c r="C161" s="270"/>
      <c r="D161" s="270" t="s">
        <v>122</v>
      </c>
      <c r="E161" s="270"/>
      <c r="F161" s="270" t="s">
        <v>186</v>
      </c>
      <c r="G161" s="270"/>
    </row>
    <row r="162" spans="1:7" ht="18.75" x14ac:dyDescent="0.25">
      <c r="A162" s="206">
        <v>1</v>
      </c>
      <c r="B162" s="250">
        <v>2</v>
      </c>
      <c r="C162" s="251"/>
      <c r="D162" s="250">
        <v>3</v>
      </c>
      <c r="E162" s="251"/>
      <c r="F162" s="278">
        <v>4</v>
      </c>
      <c r="G162" s="279"/>
    </row>
    <row r="163" spans="1:7" ht="37.5" x14ac:dyDescent="0.25">
      <c r="A163" s="13" t="s">
        <v>373</v>
      </c>
      <c r="B163" s="250">
        <v>7</v>
      </c>
      <c r="C163" s="251"/>
      <c r="D163" s="244">
        <v>1000</v>
      </c>
      <c r="E163" s="245"/>
      <c r="F163" s="244">
        <f>B163*D163*12</f>
        <v>84000</v>
      </c>
      <c r="G163" s="245"/>
    </row>
    <row r="164" spans="1:7" ht="18.75" x14ac:dyDescent="0.25">
      <c r="A164" s="13" t="s">
        <v>374</v>
      </c>
      <c r="B164" s="250">
        <v>6</v>
      </c>
      <c r="C164" s="251"/>
      <c r="D164" s="244">
        <v>1000</v>
      </c>
      <c r="E164" s="245"/>
      <c r="F164" s="244">
        <f>B164*D164*12</f>
        <v>72000</v>
      </c>
      <c r="G164" s="245"/>
    </row>
    <row r="165" spans="1:7" ht="18.75" x14ac:dyDescent="0.25">
      <c r="A165" s="13" t="s">
        <v>431</v>
      </c>
      <c r="B165" s="250" t="s">
        <v>117</v>
      </c>
      <c r="C165" s="251"/>
      <c r="D165" s="250" t="s">
        <v>117</v>
      </c>
      <c r="E165" s="251"/>
      <c r="F165" s="244">
        <v>2000</v>
      </c>
      <c r="G165" s="245"/>
    </row>
    <row r="166" spans="1:7" ht="18.75" customHeight="1" x14ac:dyDescent="0.25">
      <c r="A166" s="13" t="s">
        <v>427</v>
      </c>
      <c r="B166" s="250" t="s">
        <v>117</v>
      </c>
      <c r="C166" s="251"/>
      <c r="D166" s="250" t="s">
        <v>117</v>
      </c>
      <c r="E166" s="251"/>
      <c r="F166" s="244">
        <v>2040</v>
      </c>
      <c r="G166" s="245"/>
    </row>
    <row r="167" spans="1:7" ht="18.75" customHeight="1" x14ac:dyDescent="0.25">
      <c r="A167" s="13" t="s">
        <v>375</v>
      </c>
      <c r="B167" s="250" t="s">
        <v>274</v>
      </c>
      <c r="C167" s="251"/>
      <c r="D167" s="244">
        <v>92350</v>
      </c>
      <c r="E167" s="245"/>
      <c r="F167" s="244">
        <f>D167*12</f>
        <v>1108200</v>
      </c>
      <c r="G167" s="245"/>
    </row>
    <row r="168" spans="1:7" ht="18.75" x14ac:dyDescent="0.25">
      <c r="A168" s="13" t="s">
        <v>376</v>
      </c>
      <c r="B168" s="250" t="s">
        <v>274</v>
      </c>
      <c r="C168" s="251"/>
      <c r="D168" s="244">
        <v>92450</v>
      </c>
      <c r="E168" s="245"/>
      <c r="F168" s="244">
        <f>D168*12</f>
        <v>1109400</v>
      </c>
      <c r="G168" s="245"/>
    </row>
    <row r="169" spans="1:7" ht="18.75" x14ac:dyDescent="0.25">
      <c r="A169" s="13" t="s">
        <v>345</v>
      </c>
      <c r="B169" s="278"/>
      <c r="C169" s="279"/>
      <c r="D169" s="278"/>
      <c r="E169" s="279"/>
      <c r="F169" s="244">
        <f>'гос.задание на 2023-2024 год '!D34</f>
        <v>2377640</v>
      </c>
      <c r="G169" s="245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69" t="s">
        <v>218</v>
      </c>
      <c r="B171" s="269"/>
      <c r="C171" s="269"/>
      <c r="D171" s="269"/>
      <c r="E171" s="269"/>
      <c r="F171" s="269"/>
      <c r="G171" s="269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206" t="s">
        <v>86</v>
      </c>
      <c r="B175" s="270" t="s">
        <v>126</v>
      </c>
      <c r="C175" s="270"/>
      <c r="D175" s="270" t="s">
        <v>127</v>
      </c>
      <c r="E175" s="270"/>
      <c r="F175" s="270" t="s">
        <v>94</v>
      </c>
      <c r="G175" s="270"/>
    </row>
    <row r="176" spans="1:7" ht="18.75" x14ac:dyDescent="0.25">
      <c r="A176" s="206">
        <v>1</v>
      </c>
      <c r="B176" s="250">
        <v>2</v>
      </c>
      <c r="C176" s="251"/>
      <c r="D176" s="250">
        <v>3</v>
      </c>
      <c r="E176" s="251"/>
      <c r="F176" s="250">
        <v>4</v>
      </c>
      <c r="G176" s="251"/>
    </row>
    <row r="177" spans="1:7" ht="37.5" x14ac:dyDescent="0.25">
      <c r="A177" s="13" t="s">
        <v>18</v>
      </c>
      <c r="B177" s="250" t="s">
        <v>117</v>
      </c>
      <c r="C177" s="251"/>
      <c r="D177" s="250" t="s">
        <v>117</v>
      </c>
      <c r="E177" s="251"/>
      <c r="F177" s="244">
        <f>'гос.задание на 2023-2024 год '!D41</f>
        <v>0</v>
      </c>
      <c r="G177" s="245"/>
    </row>
    <row r="178" spans="1:7" ht="37.5" x14ac:dyDescent="0.25">
      <c r="A178" s="13" t="s">
        <v>393</v>
      </c>
      <c r="B178" s="250" t="s">
        <v>395</v>
      </c>
      <c r="C178" s="251"/>
      <c r="D178" s="250">
        <v>6119.41</v>
      </c>
      <c r="E178" s="251"/>
      <c r="F178" s="280">
        <f>'гос.задание на 2023-2024 год '!D43</f>
        <v>3626465.69</v>
      </c>
      <c r="G178" s="281"/>
    </row>
    <row r="179" spans="1:7" ht="37.5" x14ac:dyDescent="0.25">
      <c r="A179" s="13" t="s">
        <v>394</v>
      </c>
      <c r="B179" s="250" t="s">
        <v>428</v>
      </c>
      <c r="C179" s="251"/>
      <c r="D179" s="250">
        <v>7.34</v>
      </c>
      <c r="E179" s="251"/>
      <c r="F179" s="282"/>
      <c r="G179" s="283"/>
    </row>
    <row r="180" spans="1:7" ht="56.25" x14ac:dyDescent="0.25">
      <c r="A180" s="13" t="s">
        <v>377</v>
      </c>
      <c r="B180" s="250" t="s">
        <v>396</v>
      </c>
      <c r="C180" s="251"/>
      <c r="D180" s="250">
        <v>5.46</v>
      </c>
      <c r="E180" s="251"/>
      <c r="F180" s="280">
        <f>'гос.задание на 2023-2024 год '!D45</f>
        <v>25316126.350000001</v>
      </c>
      <c r="G180" s="281"/>
    </row>
    <row r="181" spans="1:7" ht="56.25" x14ac:dyDescent="0.25">
      <c r="A181" s="13" t="s">
        <v>378</v>
      </c>
      <c r="B181" s="250" t="s">
        <v>429</v>
      </c>
      <c r="C181" s="251"/>
      <c r="D181" s="250">
        <v>1127.17</v>
      </c>
      <c r="E181" s="251"/>
      <c r="F181" s="282"/>
      <c r="G181" s="283"/>
    </row>
    <row r="182" spans="1:7" ht="56.25" x14ac:dyDescent="0.25">
      <c r="A182" s="13" t="s">
        <v>380</v>
      </c>
      <c r="B182" s="250" t="s">
        <v>397</v>
      </c>
      <c r="C182" s="251"/>
      <c r="D182" s="250">
        <v>64.430000000000007</v>
      </c>
      <c r="E182" s="251"/>
      <c r="F182" s="280">
        <f>'гос.задание на 2023-2024 год '!D46</f>
        <v>6574816.25</v>
      </c>
      <c r="G182" s="281"/>
    </row>
    <row r="183" spans="1:7" ht="56.25" x14ac:dyDescent="0.25">
      <c r="A183" s="13" t="s">
        <v>381</v>
      </c>
      <c r="B183" s="250" t="s">
        <v>430</v>
      </c>
      <c r="C183" s="251"/>
      <c r="D183" s="250">
        <v>100.33</v>
      </c>
      <c r="E183" s="251"/>
      <c r="F183" s="282"/>
      <c r="G183" s="283"/>
    </row>
    <row r="184" spans="1:7" ht="37.5" x14ac:dyDescent="0.25">
      <c r="A184" s="24" t="s">
        <v>382</v>
      </c>
      <c r="B184" s="250" t="s">
        <v>398</v>
      </c>
      <c r="C184" s="251"/>
      <c r="D184" s="250">
        <v>702.49</v>
      </c>
      <c r="E184" s="251"/>
      <c r="F184" s="280">
        <f>'гос.задание на 2023-2024 год '!D47</f>
        <v>596554.87</v>
      </c>
      <c r="G184" s="281"/>
    </row>
    <row r="185" spans="1:7" ht="37.5" x14ac:dyDescent="0.25">
      <c r="A185" s="24" t="s">
        <v>383</v>
      </c>
      <c r="B185" s="250" t="s">
        <v>419</v>
      </c>
      <c r="C185" s="251"/>
      <c r="D185" s="250">
        <v>668.99</v>
      </c>
      <c r="E185" s="251"/>
      <c r="F185" s="282"/>
      <c r="G185" s="283"/>
    </row>
    <row r="186" spans="1:7" ht="18.75" x14ac:dyDescent="0.25">
      <c r="A186" s="24" t="s">
        <v>146</v>
      </c>
      <c r="B186" s="250"/>
      <c r="C186" s="251"/>
      <c r="D186" s="250"/>
      <c r="E186" s="251"/>
      <c r="F186" s="244">
        <f>F177+F178+F180+F182+F184</f>
        <v>36113963.160000004</v>
      </c>
      <c r="G186" s="245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72" t="s">
        <v>220</v>
      </c>
      <c r="B188" s="272"/>
      <c r="C188" s="272"/>
      <c r="D188" s="272"/>
      <c r="E188" s="272"/>
      <c r="F188" s="272"/>
      <c r="G188" s="272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0" t="s">
        <v>86</v>
      </c>
      <c r="B192" s="277"/>
      <c r="C192" s="251"/>
      <c r="D192" s="270" t="s">
        <v>131</v>
      </c>
      <c r="E192" s="270"/>
      <c r="F192" s="270" t="s">
        <v>132</v>
      </c>
      <c r="G192" s="270"/>
    </row>
    <row r="193" spans="1:7" ht="18.75" x14ac:dyDescent="0.3">
      <c r="A193" s="250">
        <v>1</v>
      </c>
      <c r="B193" s="277"/>
      <c r="C193" s="251"/>
      <c r="D193" s="258">
        <v>2</v>
      </c>
      <c r="E193" s="259"/>
      <c r="F193" s="258">
        <v>3</v>
      </c>
      <c r="G193" s="259"/>
    </row>
    <row r="194" spans="1:7" ht="18.75" x14ac:dyDescent="0.3">
      <c r="A194" s="248" t="s">
        <v>384</v>
      </c>
      <c r="B194" s="260"/>
      <c r="C194" s="249"/>
      <c r="D194" s="258"/>
      <c r="E194" s="259"/>
      <c r="F194" s="252"/>
      <c r="G194" s="254"/>
    </row>
    <row r="195" spans="1:7" ht="18.75" customHeight="1" x14ac:dyDescent="0.3">
      <c r="A195" s="248" t="s">
        <v>275</v>
      </c>
      <c r="B195" s="260"/>
      <c r="C195" s="249"/>
      <c r="D195" s="258">
        <v>12</v>
      </c>
      <c r="E195" s="259"/>
      <c r="F195" s="252">
        <f>258945</f>
        <v>258945</v>
      </c>
      <c r="G195" s="254"/>
    </row>
    <row r="196" spans="1:7" ht="18.75" customHeight="1" x14ac:dyDescent="0.3">
      <c r="A196" s="248" t="s">
        <v>276</v>
      </c>
      <c r="B196" s="260"/>
      <c r="C196" s="249"/>
      <c r="D196" s="258">
        <v>12</v>
      </c>
      <c r="E196" s="259"/>
      <c r="F196" s="252">
        <f>34500*12</f>
        <v>414000</v>
      </c>
      <c r="G196" s="254"/>
    </row>
    <row r="197" spans="1:7" ht="18.75" customHeight="1" x14ac:dyDescent="0.3">
      <c r="A197" s="248" t="s">
        <v>277</v>
      </c>
      <c r="B197" s="260"/>
      <c r="C197" s="249"/>
      <c r="D197" s="258">
        <v>12</v>
      </c>
      <c r="E197" s="259"/>
      <c r="F197" s="252">
        <f>144400</f>
        <v>144400</v>
      </c>
      <c r="G197" s="254"/>
    </row>
    <row r="198" spans="1:7" ht="18.75" customHeight="1" x14ac:dyDescent="0.3">
      <c r="A198" s="248" t="s">
        <v>279</v>
      </c>
      <c r="B198" s="260"/>
      <c r="C198" s="249"/>
      <c r="D198" s="258">
        <v>12</v>
      </c>
      <c r="E198" s="259"/>
      <c r="F198" s="252">
        <f>265454.52</f>
        <v>265454.52</v>
      </c>
      <c r="G198" s="254"/>
    </row>
    <row r="199" spans="1:7" ht="18.75" x14ac:dyDescent="0.3">
      <c r="A199" s="248" t="s">
        <v>278</v>
      </c>
      <c r="B199" s="260"/>
      <c r="C199" s="249"/>
      <c r="D199" s="258">
        <v>7</v>
      </c>
      <c r="E199" s="259"/>
      <c r="F199" s="252">
        <f>69580</f>
        <v>69580</v>
      </c>
      <c r="G199" s="254"/>
    </row>
    <row r="200" spans="1:7" ht="18.75" customHeight="1" x14ac:dyDescent="0.3">
      <c r="A200" s="248" t="s">
        <v>280</v>
      </c>
      <c r="B200" s="260"/>
      <c r="C200" s="249"/>
      <c r="D200" s="258">
        <v>12</v>
      </c>
      <c r="E200" s="259"/>
      <c r="F200" s="252">
        <f>4457.75</f>
        <v>4457.75</v>
      </c>
      <c r="G200" s="254"/>
    </row>
    <row r="201" spans="1:7" ht="18.75" customHeight="1" x14ac:dyDescent="0.3">
      <c r="A201" s="248" t="s">
        <v>281</v>
      </c>
      <c r="B201" s="260"/>
      <c r="C201" s="249"/>
      <c r="D201" s="258">
        <v>12</v>
      </c>
      <c r="E201" s="259"/>
      <c r="F201" s="252">
        <f>18700</f>
        <v>18700</v>
      </c>
      <c r="G201" s="254"/>
    </row>
    <row r="202" spans="1:7" ht="38.25" customHeight="1" x14ac:dyDescent="0.3">
      <c r="A202" s="248" t="s">
        <v>282</v>
      </c>
      <c r="B202" s="260"/>
      <c r="C202" s="249"/>
      <c r="D202" s="258">
        <v>12</v>
      </c>
      <c r="E202" s="259"/>
      <c r="F202" s="252">
        <f>180000</f>
        <v>180000</v>
      </c>
      <c r="G202" s="254"/>
    </row>
    <row r="203" spans="1:7" ht="18.75" customHeight="1" x14ac:dyDescent="0.3">
      <c r="A203" s="248" t="s">
        <v>283</v>
      </c>
      <c r="B203" s="260"/>
      <c r="C203" s="249"/>
      <c r="D203" s="258">
        <v>12</v>
      </c>
      <c r="E203" s="259"/>
      <c r="F203" s="252">
        <f>330909.12</f>
        <v>330909.12</v>
      </c>
      <c r="G203" s="254"/>
    </row>
    <row r="204" spans="1:7" ht="18.75" customHeight="1" x14ac:dyDescent="0.3">
      <c r="A204" s="248" t="s">
        <v>284</v>
      </c>
      <c r="B204" s="260"/>
      <c r="C204" s="249"/>
      <c r="D204" s="258">
        <v>12</v>
      </c>
      <c r="E204" s="259"/>
      <c r="F204" s="252">
        <f>6000</f>
        <v>6000</v>
      </c>
      <c r="G204" s="254"/>
    </row>
    <row r="205" spans="1:7" ht="37.5" customHeight="1" x14ac:dyDescent="0.3">
      <c r="A205" s="248" t="s">
        <v>136</v>
      </c>
      <c r="B205" s="260"/>
      <c r="C205" s="249"/>
      <c r="D205" s="258">
        <v>2</v>
      </c>
      <c r="E205" s="259"/>
      <c r="F205" s="252">
        <v>50000</v>
      </c>
      <c r="G205" s="254"/>
    </row>
    <row r="206" spans="1:7" ht="18.75" customHeight="1" x14ac:dyDescent="0.3">
      <c r="A206" s="248" t="s">
        <v>285</v>
      </c>
      <c r="B206" s="260"/>
      <c r="C206" s="249"/>
      <c r="D206" s="258">
        <v>12</v>
      </c>
      <c r="E206" s="259"/>
      <c r="F206" s="252">
        <f>7200</f>
        <v>7200</v>
      </c>
      <c r="G206" s="254"/>
    </row>
    <row r="207" spans="1:7" ht="18.75" customHeight="1" x14ac:dyDescent="0.3">
      <c r="A207" s="248" t="s">
        <v>386</v>
      </c>
      <c r="B207" s="260"/>
      <c r="C207" s="249"/>
      <c r="D207" s="258">
        <v>12</v>
      </c>
      <c r="E207" s="259"/>
      <c r="F207" s="252">
        <v>95440</v>
      </c>
      <c r="G207" s="254"/>
    </row>
    <row r="208" spans="1:7" ht="18.75" customHeight="1" x14ac:dyDescent="0.3">
      <c r="A208" s="248" t="s">
        <v>387</v>
      </c>
      <c r="B208" s="260"/>
      <c r="C208" s="249"/>
      <c r="D208" s="258">
        <v>1</v>
      </c>
      <c r="E208" s="259"/>
      <c r="F208" s="252">
        <v>917800</v>
      </c>
      <c r="G208" s="254"/>
    </row>
    <row r="209" spans="1:7" ht="18.75" x14ac:dyDescent="0.3">
      <c r="A209" s="248" t="s">
        <v>291</v>
      </c>
      <c r="B209" s="260"/>
      <c r="C209" s="249"/>
      <c r="D209" s="258">
        <v>1</v>
      </c>
      <c r="E209" s="259"/>
      <c r="F209" s="252">
        <f>569060.67</f>
        <v>569060.67000000004</v>
      </c>
      <c r="G209" s="254"/>
    </row>
    <row r="210" spans="1:7" ht="18.75" customHeight="1" x14ac:dyDescent="0.3">
      <c r="A210" s="248" t="s">
        <v>286</v>
      </c>
      <c r="B210" s="260"/>
      <c r="C210" s="249"/>
      <c r="D210" s="258">
        <v>12</v>
      </c>
      <c r="E210" s="259"/>
      <c r="F210" s="252">
        <v>3922723.81</v>
      </c>
      <c r="G210" s="254"/>
    </row>
    <row r="211" spans="1:7" ht="18.75" customHeight="1" x14ac:dyDescent="0.3">
      <c r="A211" s="248" t="s">
        <v>287</v>
      </c>
      <c r="B211" s="260"/>
      <c r="C211" s="249"/>
      <c r="D211" s="258">
        <v>12</v>
      </c>
      <c r="E211" s="259"/>
      <c r="F211" s="252">
        <v>859297.46</v>
      </c>
      <c r="G211" s="254"/>
    </row>
    <row r="212" spans="1:7" ht="18.75" customHeight="1" x14ac:dyDescent="0.3">
      <c r="A212" s="248" t="s">
        <v>349</v>
      </c>
      <c r="B212" s="260"/>
      <c r="C212" s="249"/>
      <c r="D212" s="258">
        <v>12</v>
      </c>
      <c r="E212" s="259"/>
      <c r="F212" s="252">
        <v>7933758.6399999997</v>
      </c>
      <c r="G212" s="254"/>
    </row>
    <row r="213" spans="1:7" ht="18.75" customHeight="1" x14ac:dyDescent="0.3">
      <c r="A213" s="248" t="s">
        <v>350</v>
      </c>
      <c r="B213" s="260"/>
      <c r="C213" s="249"/>
      <c r="D213" s="258">
        <v>12</v>
      </c>
      <c r="E213" s="259"/>
      <c r="F213" s="252">
        <v>75000</v>
      </c>
      <c r="G213" s="254"/>
    </row>
    <row r="214" spans="1:7" ht="18.75" customHeight="1" x14ac:dyDescent="0.3">
      <c r="A214" s="248" t="s">
        <v>388</v>
      </c>
      <c r="B214" s="260"/>
      <c r="C214" s="249"/>
      <c r="D214" s="258">
        <v>12</v>
      </c>
      <c r="E214" s="259"/>
      <c r="F214" s="252">
        <v>1314000</v>
      </c>
      <c r="G214" s="254"/>
    </row>
    <row r="215" spans="1:7" ht="18.75" x14ac:dyDescent="0.3">
      <c r="A215" s="248" t="s">
        <v>288</v>
      </c>
      <c r="B215" s="260"/>
      <c r="C215" s="249"/>
      <c r="D215" s="258">
        <v>12</v>
      </c>
      <c r="E215" s="259"/>
      <c r="F215" s="252">
        <v>700</v>
      </c>
      <c r="G215" s="254"/>
    </row>
    <row r="216" spans="1:7" ht="18.75" customHeight="1" x14ac:dyDescent="0.3">
      <c r="A216" s="248" t="s">
        <v>289</v>
      </c>
      <c r="B216" s="260"/>
      <c r="C216" s="249"/>
      <c r="D216" s="258">
        <v>5</v>
      </c>
      <c r="E216" s="259"/>
      <c r="F216" s="252">
        <f>400000</f>
        <v>400000</v>
      </c>
      <c r="G216" s="254"/>
    </row>
    <row r="217" spans="1:7" ht="18.75" x14ac:dyDescent="0.3">
      <c r="A217" s="248" t="s">
        <v>290</v>
      </c>
      <c r="B217" s="260"/>
      <c r="C217" s="249"/>
      <c r="D217" s="258">
        <v>1</v>
      </c>
      <c r="E217" s="259"/>
      <c r="F217" s="252">
        <v>2609404.16</v>
      </c>
      <c r="G217" s="254"/>
    </row>
    <row r="218" spans="1:7" ht="18.75" customHeight="1" x14ac:dyDescent="0.3">
      <c r="A218" s="248" t="s">
        <v>385</v>
      </c>
      <c r="B218" s="260"/>
      <c r="C218" s="249"/>
      <c r="D218" s="258"/>
      <c r="E218" s="259"/>
      <c r="F218" s="252"/>
      <c r="G218" s="254"/>
    </row>
    <row r="219" spans="1:7" ht="18.75" customHeight="1" x14ac:dyDescent="0.3">
      <c r="A219" s="248" t="s">
        <v>401</v>
      </c>
      <c r="B219" s="260"/>
      <c r="C219" s="249"/>
      <c r="D219" s="258">
        <v>12</v>
      </c>
      <c r="E219" s="259"/>
      <c r="F219" s="252">
        <v>644544</v>
      </c>
      <c r="G219" s="254"/>
    </row>
    <row r="220" spans="1:7" ht="18.75" customHeight="1" x14ac:dyDescent="0.3">
      <c r="A220" s="248" t="s">
        <v>402</v>
      </c>
      <c r="B220" s="260"/>
      <c r="C220" s="249"/>
      <c r="D220" s="258">
        <v>12</v>
      </c>
      <c r="E220" s="259"/>
      <c r="F220" s="252">
        <v>217898.84159999999</v>
      </c>
      <c r="G220" s="254"/>
    </row>
    <row r="221" spans="1:7" ht="18.75" customHeight="1" x14ac:dyDescent="0.3">
      <c r="A221" s="248" t="s">
        <v>403</v>
      </c>
      <c r="B221" s="260"/>
      <c r="C221" s="249"/>
      <c r="D221" s="258">
        <v>12</v>
      </c>
      <c r="E221" s="259"/>
      <c r="F221" s="252">
        <v>303329.56799999997</v>
      </c>
      <c r="G221" s="254"/>
    </row>
    <row r="222" spans="1:7" ht="18.75" customHeight="1" x14ac:dyDescent="0.3">
      <c r="A222" s="248" t="s">
        <v>404</v>
      </c>
      <c r="B222" s="260"/>
      <c r="C222" s="249"/>
      <c r="D222" s="258">
        <v>12</v>
      </c>
      <c r="E222" s="259"/>
      <c r="F222" s="252">
        <v>577146.18240000005</v>
      </c>
      <c r="G222" s="254"/>
    </row>
    <row r="223" spans="1:7" ht="18.75" customHeight="1" x14ac:dyDescent="0.3">
      <c r="A223" s="248" t="s">
        <v>405</v>
      </c>
      <c r="B223" s="260"/>
      <c r="C223" s="249"/>
      <c r="D223" s="258">
        <v>12</v>
      </c>
      <c r="E223" s="259"/>
      <c r="F223" s="252">
        <v>118689.19680000001</v>
      </c>
      <c r="G223" s="254"/>
    </row>
    <row r="224" spans="1:7" ht="18.75" customHeight="1" x14ac:dyDescent="0.3">
      <c r="A224" s="248" t="s">
        <v>406</v>
      </c>
      <c r="B224" s="260"/>
      <c r="C224" s="249"/>
      <c r="D224" s="258">
        <v>12</v>
      </c>
      <c r="E224" s="259"/>
      <c r="F224" s="252">
        <v>1339219.2</v>
      </c>
      <c r="G224" s="254"/>
    </row>
    <row r="225" spans="1:7" ht="18.75" customHeight="1" x14ac:dyDescent="0.3">
      <c r="A225" s="248" t="s">
        <v>407</v>
      </c>
      <c r="B225" s="260"/>
      <c r="C225" s="249"/>
      <c r="D225" s="258">
        <v>12</v>
      </c>
      <c r="E225" s="259"/>
      <c r="F225" s="252">
        <v>121747.2</v>
      </c>
      <c r="G225" s="254"/>
    </row>
    <row r="226" spans="1:7" ht="18.75" customHeight="1" x14ac:dyDescent="0.3">
      <c r="A226" s="248" t="s">
        <v>408</v>
      </c>
      <c r="B226" s="260"/>
      <c r="C226" s="249"/>
      <c r="D226" s="258">
        <v>12</v>
      </c>
      <c r="E226" s="259"/>
      <c r="F226" s="252">
        <v>48698.879999999997</v>
      </c>
      <c r="G226" s="254"/>
    </row>
    <row r="227" spans="1:7" ht="18.75" customHeight="1" x14ac:dyDescent="0.3">
      <c r="A227" s="248" t="s">
        <v>409</v>
      </c>
      <c r="B227" s="260"/>
      <c r="C227" s="249"/>
      <c r="D227" s="258">
        <v>12</v>
      </c>
      <c r="E227" s="259"/>
      <c r="F227" s="252">
        <v>71616</v>
      </c>
      <c r="G227" s="254"/>
    </row>
    <row r="228" spans="1:7" ht="18.75" x14ac:dyDescent="0.3">
      <c r="A228" s="248" t="s">
        <v>410</v>
      </c>
      <c r="B228" s="260"/>
      <c r="C228" s="249"/>
      <c r="D228" s="258">
        <v>12</v>
      </c>
      <c r="E228" s="259"/>
      <c r="F228" s="252">
        <v>35627.198400000751</v>
      </c>
      <c r="G228" s="254"/>
    </row>
    <row r="229" spans="1:7" ht="18.75" customHeight="1" x14ac:dyDescent="0.3">
      <c r="A229" s="248" t="s">
        <v>286</v>
      </c>
      <c r="B229" s="260"/>
      <c r="C229" s="249"/>
      <c r="D229" s="258">
        <v>12</v>
      </c>
      <c r="E229" s="259"/>
      <c r="F229" s="252">
        <v>746000</v>
      </c>
      <c r="G229" s="254"/>
    </row>
    <row r="230" spans="1:7" ht="18.75" customHeight="1" x14ac:dyDescent="0.3">
      <c r="A230" s="248" t="s">
        <v>411</v>
      </c>
      <c r="B230" s="260"/>
      <c r="C230" s="249"/>
      <c r="D230" s="258">
        <v>12</v>
      </c>
      <c r="E230" s="259"/>
      <c r="F230" s="252">
        <v>131296</v>
      </c>
      <c r="G230" s="254"/>
    </row>
    <row r="231" spans="1:7" ht="18.75" customHeight="1" x14ac:dyDescent="0.3">
      <c r="A231" s="248" t="s">
        <v>434</v>
      </c>
      <c r="B231" s="260"/>
      <c r="C231" s="249"/>
      <c r="D231" s="258">
        <v>12</v>
      </c>
      <c r="E231" s="259"/>
      <c r="F231" s="252">
        <v>17187.84</v>
      </c>
      <c r="G231" s="254"/>
    </row>
    <row r="232" spans="1:7" ht="18.75" x14ac:dyDescent="0.3">
      <c r="A232" s="248" t="s">
        <v>412</v>
      </c>
      <c r="B232" s="260"/>
      <c r="C232" s="249"/>
      <c r="D232" s="258">
        <v>1</v>
      </c>
      <c r="E232" s="259"/>
      <c r="F232" s="252">
        <v>208880</v>
      </c>
      <c r="G232" s="254"/>
    </row>
    <row r="233" spans="1:7" ht="18.75" x14ac:dyDescent="0.3">
      <c r="A233" s="248" t="s">
        <v>414</v>
      </c>
      <c r="B233" s="260"/>
      <c r="C233" s="249"/>
      <c r="D233" s="258">
        <v>3</v>
      </c>
      <c r="E233" s="259"/>
      <c r="F233" s="252">
        <v>281.09280000000001</v>
      </c>
      <c r="G233" s="254"/>
    </row>
    <row r="234" spans="1:7" ht="37.5" customHeight="1" x14ac:dyDescent="0.3">
      <c r="A234" s="248" t="s">
        <v>435</v>
      </c>
      <c r="B234" s="260"/>
      <c r="C234" s="249"/>
      <c r="D234" s="258">
        <v>12</v>
      </c>
      <c r="E234" s="259"/>
      <c r="F234" s="252">
        <v>1417996.8</v>
      </c>
      <c r="G234" s="254"/>
    </row>
    <row r="235" spans="1:7" ht="18.75" x14ac:dyDescent="0.3">
      <c r="A235" s="248" t="s">
        <v>413</v>
      </c>
      <c r="B235" s="260"/>
      <c r="C235" s="249"/>
      <c r="D235" s="258">
        <v>12</v>
      </c>
      <c r="E235" s="259"/>
      <c r="F235" s="252">
        <v>1396512</v>
      </c>
      <c r="G235" s="254"/>
    </row>
    <row r="236" spans="1:7" ht="18.75" customHeight="1" x14ac:dyDescent="0.3">
      <c r="A236" s="248" t="s">
        <v>438</v>
      </c>
      <c r="B236" s="260"/>
      <c r="C236" s="249"/>
      <c r="D236" s="258">
        <v>12</v>
      </c>
      <c r="E236" s="259"/>
      <c r="F236" s="252">
        <v>149200</v>
      </c>
      <c r="G236" s="254"/>
    </row>
    <row r="237" spans="1:7" ht="18.75" x14ac:dyDescent="0.3">
      <c r="A237" s="248" t="s">
        <v>146</v>
      </c>
      <c r="B237" s="260"/>
      <c r="C237" s="249"/>
      <c r="D237" s="274"/>
      <c r="E237" s="275"/>
      <c r="F237" s="252">
        <f>'гос.задание на 2023-2024 год '!D52</f>
        <v>27992701.129999999</v>
      </c>
      <c r="G237" s="254"/>
    </row>
    <row r="238" spans="1:7" ht="18.75" x14ac:dyDescent="0.25">
      <c r="A238" s="29"/>
    </row>
    <row r="239" spans="1:7" ht="18.75" x14ac:dyDescent="0.25">
      <c r="A239" s="269" t="s">
        <v>221</v>
      </c>
      <c r="B239" s="269"/>
      <c r="C239" s="269"/>
      <c r="D239" s="269"/>
      <c r="E239" s="269"/>
      <c r="F239" s="269"/>
      <c r="G239" s="269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0" t="s">
        <v>86</v>
      </c>
      <c r="B243" s="277"/>
      <c r="C243" s="251"/>
      <c r="D243" s="270" t="s">
        <v>137</v>
      </c>
      <c r="E243" s="270"/>
      <c r="F243" s="270" t="s">
        <v>138</v>
      </c>
      <c r="G243" s="270"/>
    </row>
    <row r="244" spans="1:7" ht="18.75" x14ac:dyDescent="0.3">
      <c r="A244" s="250">
        <v>1</v>
      </c>
      <c r="B244" s="277"/>
      <c r="C244" s="251"/>
      <c r="D244" s="258">
        <v>2</v>
      </c>
      <c r="E244" s="259"/>
      <c r="F244" s="258">
        <v>3</v>
      </c>
      <c r="G244" s="259"/>
    </row>
    <row r="245" spans="1:7" ht="18.75" x14ac:dyDescent="0.3">
      <c r="A245" s="248" t="s">
        <v>384</v>
      </c>
      <c r="B245" s="260"/>
      <c r="C245" s="249"/>
      <c r="D245" s="261"/>
      <c r="E245" s="262"/>
      <c r="F245" s="252"/>
      <c r="G245" s="254"/>
    </row>
    <row r="246" spans="1:7" ht="18.75" customHeight="1" x14ac:dyDescent="0.3">
      <c r="A246" s="248" t="s">
        <v>139</v>
      </c>
      <c r="B246" s="260"/>
      <c r="C246" s="249"/>
      <c r="D246" s="261">
        <v>1</v>
      </c>
      <c r="E246" s="262"/>
      <c r="F246" s="252">
        <f>120000+33816</f>
        <v>153816</v>
      </c>
      <c r="G246" s="254"/>
    </row>
    <row r="247" spans="1:7" ht="18.75" x14ac:dyDescent="0.3">
      <c r="A247" s="248" t="s">
        <v>140</v>
      </c>
      <c r="B247" s="260"/>
      <c r="C247" s="249"/>
      <c r="D247" s="261">
        <v>1</v>
      </c>
      <c r="E247" s="262"/>
      <c r="F247" s="252">
        <v>4697400</v>
      </c>
      <c r="G247" s="254"/>
    </row>
    <row r="248" spans="1:7" ht="18.75" customHeight="1" x14ac:dyDescent="0.3">
      <c r="A248" s="248" t="s">
        <v>351</v>
      </c>
      <c r="B248" s="260"/>
      <c r="C248" s="249"/>
      <c r="D248" s="261">
        <v>1</v>
      </c>
      <c r="E248" s="262"/>
      <c r="F248" s="252">
        <v>19744</v>
      </c>
      <c r="G248" s="254"/>
    </row>
    <row r="249" spans="1:7" ht="18.75" x14ac:dyDescent="0.3">
      <c r="A249" s="248" t="s">
        <v>292</v>
      </c>
      <c r="B249" s="260"/>
      <c r="C249" s="249"/>
      <c r="D249" s="261">
        <v>1</v>
      </c>
      <c r="E249" s="262"/>
      <c r="F249" s="252">
        <v>36000</v>
      </c>
      <c r="G249" s="254"/>
    </row>
    <row r="250" spans="1:7" ht="18.75" customHeight="1" x14ac:dyDescent="0.3">
      <c r="A250" s="248" t="s">
        <v>293</v>
      </c>
      <c r="B250" s="260"/>
      <c r="C250" s="249"/>
      <c r="D250" s="261">
        <v>5</v>
      </c>
      <c r="E250" s="262"/>
      <c r="F250" s="252">
        <v>45000</v>
      </c>
      <c r="G250" s="254"/>
    </row>
    <row r="251" spans="1:7" ht="18.75" x14ac:dyDescent="0.3">
      <c r="A251" s="248" t="s">
        <v>352</v>
      </c>
      <c r="B251" s="260"/>
      <c r="C251" s="249"/>
      <c r="D251" s="261">
        <v>1</v>
      </c>
      <c r="E251" s="262"/>
      <c r="F251" s="252">
        <v>45000</v>
      </c>
      <c r="G251" s="254"/>
    </row>
    <row r="252" spans="1:7" ht="18.75" customHeight="1" x14ac:dyDescent="0.3">
      <c r="A252" s="248" t="s">
        <v>294</v>
      </c>
      <c r="B252" s="260"/>
      <c r="C252" s="249"/>
      <c r="D252" s="261">
        <v>1</v>
      </c>
      <c r="E252" s="262"/>
      <c r="F252" s="252">
        <v>6000</v>
      </c>
      <c r="G252" s="254"/>
    </row>
    <row r="253" spans="1:7" ht="18.75" x14ac:dyDescent="0.3">
      <c r="A253" s="248" t="s">
        <v>295</v>
      </c>
      <c r="B253" s="260"/>
      <c r="C253" s="249"/>
      <c r="D253" s="261">
        <v>9</v>
      </c>
      <c r="E253" s="262"/>
      <c r="F253" s="252">
        <v>83001.279999999999</v>
      </c>
      <c r="G253" s="254"/>
    </row>
    <row r="254" spans="1:7" ht="18.75" customHeight="1" x14ac:dyDescent="0.3">
      <c r="A254" s="248" t="s">
        <v>353</v>
      </c>
      <c r="B254" s="260"/>
      <c r="C254" s="249"/>
      <c r="D254" s="261">
        <v>1</v>
      </c>
      <c r="E254" s="262"/>
      <c r="F254" s="252">
        <v>55000</v>
      </c>
      <c r="G254" s="254"/>
    </row>
    <row r="255" spans="1:7" ht="18.75" x14ac:dyDescent="0.3">
      <c r="A255" s="248" t="s">
        <v>389</v>
      </c>
      <c r="B255" s="260"/>
      <c r="C255" s="249"/>
      <c r="D255" s="261">
        <v>6</v>
      </c>
      <c r="E255" s="262"/>
      <c r="F255" s="252">
        <v>7620</v>
      </c>
      <c r="G255" s="254"/>
    </row>
    <row r="256" spans="1:7" ht="18.75" customHeight="1" x14ac:dyDescent="0.3">
      <c r="A256" s="248" t="s">
        <v>390</v>
      </c>
      <c r="B256" s="260"/>
      <c r="C256" s="249"/>
      <c r="D256" s="261">
        <v>2</v>
      </c>
      <c r="E256" s="262"/>
      <c r="F256" s="252">
        <v>60000</v>
      </c>
      <c r="G256" s="254"/>
    </row>
    <row r="257" spans="1:7" ht="18.75" x14ac:dyDescent="0.3">
      <c r="A257" s="248" t="s">
        <v>385</v>
      </c>
      <c r="B257" s="260"/>
      <c r="C257" s="249"/>
      <c r="D257" s="261"/>
      <c r="E257" s="262"/>
      <c r="F257" s="252"/>
      <c r="G257" s="254"/>
    </row>
    <row r="258" spans="1:7" ht="18.75" customHeight="1" x14ac:dyDescent="0.3">
      <c r="A258" s="248" t="s">
        <v>415</v>
      </c>
      <c r="B258" s="260"/>
      <c r="C258" s="249"/>
      <c r="D258" s="261">
        <v>1</v>
      </c>
      <c r="E258" s="262"/>
      <c r="F258" s="252">
        <v>17350.5</v>
      </c>
      <c r="G258" s="254"/>
    </row>
    <row r="259" spans="1:7" ht="18.75" x14ac:dyDescent="0.3">
      <c r="A259" s="248" t="s">
        <v>416</v>
      </c>
      <c r="B259" s="260"/>
      <c r="C259" s="249"/>
      <c r="D259" s="261">
        <v>1</v>
      </c>
      <c r="E259" s="262"/>
      <c r="F259" s="252">
        <v>66394.58</v>
      </c>
      <c r="G259" s="254"/>
    </row>
    <row r="260" spans="1:7" ht="18.75" x14ac:dyDescent="0.3">
      <c r="A260" s="248" t="s">
        <v>140</v>
      </c>
      <c r="B260" s="260"/>
      <c r="C260" s="249"/>
      <c r="D260" s="261">
        <v>1</v>
      </c>
      <c r="E260" s="262"/>
      <c r="F260" s="252">
        <v>3459458.36</v>
      </c>
      <c r="G260" s="254"/>
    </row>
    <row r="261" spans="1:7" ht="18.75" customHeight="1" x14ac:dyDescent="0.3">
      <c r="A261" s="248" t="s">
        <v>417</v>
      </c>
      <c r="B261" s="260"/>
      <c r="C261" s="249"/>
      <c r="D261" s="261">
        <v>1</v>
      </c>
      <c r="E261" s="262"/>
      <c r="F261" s="252">
        <v>18507.2</v>
      </c>
      <c r="G261" s="254"/>
    </row>
    <row r="262" spans="1:7" ht="18.75" customHeight="1" x14ac:dyDescent="0.3">
      <c r="A262" s="248" t="s">
        <v>418</v>
      </c>
      <c r="B262" s="260"/>
      <c r="C262" s="249"/>
      <c r="D262" s="261">
        <v>2</v>
      </c>
      <c r="E262" s="262"/>
      <c r="F262" s="252">
        <v>69402</v>
      </c>
      <c r="G262" s="254"/>
    </row>
    <row r="263" spans="1:7" ht="18.75" customHeight="1" x14ac:dyDescent="0.3">
      <c r="A263" s="248" t="s">
        <v>353</v>
      </c>
      <c r="B263" s="260"/>
      <c r="C263" s="249"/>
      <c r="D263" s="261">
        <v>1</v>
      </c>
      <c r="E263" s="262"/>
      <c r="F263" s="252">
        <v>107573.1</v>
      </c>
      <c r="G263" s="254"/>
    </row>
    <row r="264" spans="1:7" ht="57.75" customHeight="1" x14ac:dyDescent="0.3">
      <c r="A264" s="248" t="s">
        <v>439</v>
      </c>
      <c r="B264" s="260"/>
      <c r="C264" s="249"/>
      <c r="D264" s="261">
        <v>1</v>
      </c>
      <c r="E264" s="262"/>
      <c r="F264" s="252">
        <f>28917.5+32276.76</f>
        <v>61194.259999999995</v>
      </c>
      <c r="G264" s="254"/>
    </row>
    <row r="265" spans="1:7" ht="18.75" x14ac:dyDescent="0.3">
      <c r="A265" s="248" t="s">
        <v>146</v>
      </c>
      <c r="B265" s="260"/>
      <c r="C265" s="249"/>
      <c r="D265" s="274"/>
      <c r="E265" s="275"/>
      <c r="F265" s="252">
        <f>'гос.задание на 2023-2024 год '!D58</f>
        <v>9008461.2799999993</v>
      </c>
      <c r="G265" s="254"/>
    </row>
    <row r="266" spans="1:7" ht="18.75" x14ac:dyDescent="0.25">
      <c r="A266" s="8"/>
    </row>
    <row r="267" spans="1:7" ht="18.75" x14ac:dyDescent="0.25">
      <c r="A267" s="269" t="s">
        <v>222</v>
      </c>
      <c r="B267" s="269"/>
      <c r="C267" s="269"/>
      <c r="D267" s="269"/>
      <c r="E267" s="269"/>
      <c r="F267" s="269"/>
      <c r="G267" s="269"/>
    </row>
    <row r="268" spans="1:7" ht="18.75" x14ac:dyDescent="0.25">
      <c r="A268" s="9"/>
    </row>
    <row r="269" spans="1:7" ht="18.75" x14ac:dyDescent="0.3">
      <c r="A269" s="9" t="s">
        <v>145</v>
      </c>
      <c r="B269" s="10">
        <v>244</v>
      </c>
    </row>
    <row r="270" spans="1:7" ht="18.75" x14ac:dyDescent="0.25">
      <c r="A270" s="8"/>
    </row>
    <row r="271" spans="1:7" ht="18.75" x14ac:dyDescent="0.25">
      <c r="A271" s="250" t="s">
        <v>86</v>
      </c>
      <c r="B271" s="251"/>
      <c r="C271" s="250" t="s">
        <v>137</v>
      </c>
      <c r="D271" s="251"/>
      <c r="E271" s="250" t="s">
        <v>138</v>
      </c>
      <c r="F271" s="277"/>
      <c r="G271" s="251"/>
    </row>
    <row r="272" spans="1:7" ht="18.75" x14ac:dyDescent="0.3">
      <c r="A272" s="250">
        <v>1</v>
      </c>
      <c r="B272" s="251"/>
      <c r="C272" s="250">
        <v>2</v>
      </c>
      <c r="D272" s="251"/>
      <c r="E272" s="258">
        <v>3</v>
      </c>
      <c r="F272" s="276"/>
      <c r="G272" s="259"/>
    </row>
    <row r="273" spans="1:7" ht="18.75" x14ac:dyDescent="0.3">
      <c r="A273" s="248" t="s">
        <v>25</v>
      </c>
      <c r="B273" s="249"/>
      <c r="C273" s="250">
        <v>1</v>
      </c>
      <c r="D273" s="251"/>
      <c r="E273" s="252">
        <f>'гос.задание на 2023-2024 год '!D59</f>
        <v>5067.62</v>
      </c>
      <c r="F273" s="253"/>
      <c r="G273" s="254"/>
    </row>
    <row r="274" spans="1:7" x14ac:dyDescent="0.25">
      <c r="A274" s="23"/>
    </row>
    <row r="275" spans="1:7" ht="18.75" x14ac:dyDescent="0.25">
      <c r="A275" s="8"/>
    </row>
    <row r="276" spans="1:7" ht="18.75" customHeight="1" x14ac:dyDescent="0.25">
      <c r="A276" s="271" t="s">
        <v>225</v>
      </c>
      <c r="B276" s="271"/>
      <c r="C276" s="271"/>
      <c r="D276" s="271"/>
      <c r="E276" s="271"/>
      <c r="F276" s="271"/>
      <c r="G276" s="271"/>
    </row>
    <row r="277" spans="1:7" ht="18.75" x14ac:dyDescent="0.25">
      <c r="A277" s="9"/>
    </row>
    <row r="278" spans="1:7" ht="18.75" x14ac:dyDescent="0.3">
      <c r="A278" s="9" t="s">
        <v>145</v>
      </c>
      <c r="B278" s="10">
        <v>244</v>
      </c>
    </row>
    <row r="279" spans="1:7" ht="18.75" x14ac:dyDescent="0.25">
      <c r="A279" s="8"/>
    </row>
    <row r="280" spans="1:7" ht="18.75" x14ac:dyDescent="0.25">
      <c r="A280" s="206" t="s">
        <v>86</v>
      </c>
      <c r="B280" s="270" t="s">
        <v>142</v>
      </c>
      <c r="C280" s="270"/>
      <c r="D280" s="270" t="s">
        <v>143</v>
      </c>
      <c r="E280" s="270"/>
      <c r="F280" s="270" t="s">
        <v>150</v>
      </c>
      <c r="G280" s="270"/>
    </row>
    <row r="281" spans="1:7" ht="18.75" x14ac:dyDescent="0.25">
      <c r="A281" s="206">
        <v>1</v>
      </c>
      <c r="B281" s="250">
        <v>2</v>
      </c>
      <c r="C281" s="251"/>
      <c r="D281" s="250">
        <v>3</v>
      </c>
      <c r="E281" s="251"/>
      <c r="F281" s="250">
        <v>4</v>
      </c>
      <c r="G281" s="251"/>
    </row>
    <row r="282" spans="1:7" ht="18.75" x14ac:dyDescent="0.25">
      <c r="A282" s="13"/>
      <c r="B282" s="278"/>
      <c r="C282" s="279"/>
      <c r="D282" s="278"/>
      <c r="E282" s="279"/>
      <c r="F282" s="329"/>
      <c r="G282" s="330"/>
    </row>
    <row r="283" spans="1:7" ht="18.75" x14ac:dyDescent="0.25">
      <c r="A283" s="13" t="s">
        <v>237</v>
      </c>
      <c r="B283" s="250"/>
      <c r="C283" s="251"/>
      <c r="D283" s="244"/>
      <c r="E283" s="245"/>
      <c r="F283" s="244">
        <f>'гос.задание на 2023-2024 год '!D94</f>
        <v>0</v>
      </c>
      <c r="G283" s="245"/>
    </row>
    <row r="284" spans="1:7" ht="18.75" x14ac:dyDescent="0.25">
      <c r="A284" s="13"/>
      <c r="B284" s="250"/>
      <c r="C284" s="251"/>
      <c r="D284" s="244"/>
      <c r="E284" s="245"/>
      <c r="F284" s="244"/>
      <c r="G284" s="245"/>
    </row>
    <row r="285" spans="1:7" ht="18.75" x14ac:dyDescent="0.25">
      <c r="A285" s="13" t="s">
        <v>238</v>
      </c>
      <c r="B285" s="250"/>
      <c r="C285" s="251"/>
      <c r="D285" s="244"/>
      <c r="E285" s="245"/>
      <c r="F285" s="244">
        <f>'гос.задание на 2023-2024 год '!D95</f>
        <v>0</v>
      </c>
      <c r="G285" s="245"/>
    </row>
    <row r="286" spans="1:7" ht="18.75" x14ac:dyDescent="0.25">
      <c r="A286" s="13"/>
      <c r="B286" s="250"/>
      <c r="C286" s="251"/>
      <c r="D286" s="244"/>
      <c r="E286" s="245"/>
      <c r="F286" s="244"/>
      <c r="G286" s="245"/>
    </row>
    <row r="287" spans="1:7" ht="18.75" x14ac:dyDescent="0.25">
      <c r="A287" s="13" t="s">
        <v>239</v>
      </c>
      <c r="B287" s="250"/>
      <c r="C287" s="251"/>
      <c r="D287" s="244"/>
      <c r="E287" s="245"/>
      <c r="F287" s="244">
        <f>'гос.задание на 2023-2024 год '!D96</f>
        <v>290000</v>
      </c>
      <c r="G287" s="245"/>
    </row>
    <row r="288" spans="1:7" ht="18.75" x14ac:dyDescent="0.25">
      <c r="A288" s="13" t="s">
        <v>296</v>
      </c>
      <c r="B288" s="250">
        <v>5370.37</v>
      </c>
      <c r="C288" s="251"/>
      <c r="D288" s="244">
        <v>54</v>
      </c>
      <c r="E288" s="245"/>
      <c r="F288" s="244">
        <v>290000</v>
      </c>
      <c r="G288" s="245"/>
    </row>
    <row r="289" spans="1:7" ht="18.75" x14ac:dyDescent="0.25">
      <c r="A289" s="13" t="s">
        <v>240</v>
      </c>
      <c r="B289" s="250"/>
      <c r="C289" s="251"/>
      <c r="D289" s="244"/>
      <c r="E289" s="245"/>
      <c r="F289" s="244">
        <f>'гос.задание на 2023-2024 год '!D97</f>
        <v>200000</v>
      </c>
      <c r="G289" s="245"/>
    </row>
    <row r="290" spans="1:7" ht="18.75" x14ac:dyDescent="0.25">
      <c r="A290" s="13" t="s">
        <v>297</v>
      </c>
      <c r="B290" s="250">
        <v>4000</v>
      </c>
      <c r="C290" s="251"/>
      <c r="D290" s="244">
        <v>50</v>
      </c>
      <c r="E290" s="245"/>
      <c r="F290" s="244">
        <v>200000</v>
      </c>
      <c r="G290" s="245"/>
    </row>
    <row r="291" spans="1:7" ht="18.75" x14ac:dyDescent="0.25">
      <c r="A291" s="13" t="s">
        <v>241</v>
      </c>
      <c r="B291" s="250"/>
      <c r="C291" s="251"/>
      <c r="D291" s="244"/>
      <c r="E291" s="245"/>
      <c r="F291" s="244">
        <f>'гос.задание на 2023-2024 год '!D98</f>
        <v>334245</v>
      </c>
      <c r="G291" s="245"/>
    </row>
    <row r="292" spans="1:7" ht="18.75" x14ac:dyDescent="0.25">
      <c r="A292" s="13" t="s">
        <v>298</v>
      </c>
      <c r="B292" s="250">
        <v>36</v>
      </c>
      <c r="C292" s="251"/>
      <c r="D292" s="244">
        <v>1666.67</v>
      </c>
      <c r="E292" s="245"/>
      <c r="F292" s="244">
        <v>60000</v>
      </c>
      <c r="G292" s="245"/>
    </row>
    <row r="293" spans="1:7" ht="18.75" x14ac:dyDescent="0.25">
      <c r="A293" s="13" t="s">
        <v>299</v>
      </c>
      <c r="B293" s="250">
        <v>20</v>
      </c>
      <c r="C293" s="251"/>
      <c r="D293" s="244">
        <v>4000</v>
      </c>
      <c r="E293" s="245"/>
      <c r="F293" s="244">
        <v>80000</v>
      </c>
      <c r="G293" s="245"/>
    </row>
    <row r="294" spans="1:7" ht="18.75" x14ac:dyDescent="0.25">
      <c r="A294" s="13" t="s">
        <v>300</v>
      </c>
      <c r="B294" s="250">
        <v>50</v>
      </c>
      <c r="C294" s="251"/>
      <c r="D294" s="244">
        <v>3884.9</v>
      </c>
      <c r="E294" s="245"/>
      <c r="F294" s="244">
        <v>194245</v>
      </c>
      <c r="G294" s="245"/>
    </row>
    <row r="295" spans="1:7" ht="18.75" x14ac:dyDescent="0.25">
      <c r="A295" s="13" t="s">
        <v>242</v>
      </c>
      <c r="B295" s="250"/>
      <c r="C295" s="251"/>
      <c r="D295" s="244"/>
      <c r="E295" s="245"/>
      <c r="F295" s="244">
        <f>'гос.задание на 2023-2024 год '!D99</f>
        <v>8428958.6199999992</v>
      </c>
      <c r="G295" s="245"/>
    </row>
    <row r="296" spans="1:7" ht="18.75" x14ac:dyDescent="0.25">
      <c r="A296" s="13" t="s">
        <v>384</v>
      </c>
      <c r="B296" s="246"/>
      <c r="C296" s="247"/>
      <c r="D296" s="244"/>
      <c r="E296" s="245"/>
      <c r="F296" s="244"/>
      <c r="G296" s="245"/>
    </row>
    <row r="297" spans="1:7" ht="18.75" x14ac:dyDescent="0.25">
      <c r="A297" s="13" t="s">
        <v>301</v>
      </c>
      <c r="B297" s="246">
        <v>1000</v>
      </c>
      <c r="C297" s="247"/>
      <c r="D297" s="244">
        <v>45</v>
      </c>
      <c r="E297" s="245"/>
      <c r="F297" s="244">
        <v>45000</v>
      </c>
      <c r="G297" s="245"/>
    </row>
    <row r="298" spans="1:7" ht="18.75" x14ac:dyDescent="0.25">
      <c r="A298" s="13" t="s">
        <v>302</v>
      </c>
      <c r="B298" s="246">
        <v>1999</v>
      </c>
      <c r="C298" s="247"/>
      <c r="D298" s="244">
        <v>22.9</v>
      </c>
      <c r="E298" s="245"/>
      <c r="F298" s="244">
        <v>45777.120000000003</v>
      </c>
      <c r="G298" s="245"/>
    </row>
    <row r="299" spans="1:7" ht="37.5" x14ac:dyDescent="0.25">
      <c r="A299" s="13" t="s">
        <v>303</v>
      </c>
      <c r="B299" s="246">
        <v>141</v>
      </c>
      <c r="C299" s="247"/>
      <c r="D299" s="244">
        <v>2593.62</v>
      </c>
      <c r="E299" s="245"/>
      <c r="F299" s="244">
        <f>45000+180700+140000</f>
        <v>365700</v>
      </c>
      <c r="G299" s="245"/>
    </row>
    <row r="300" spans="1:7" ht="18.75" x14ac:dyDescent="0.25">
      <c r="A300" s="13" t="s">
        <v>304</v>
      </c>
      <c r="B300" s="246">
        <v>200</v>
      </c>
      <c r="C300" s="247"/>
      <c r="D300" s="244">
        <v>1400</v>
      </c>
      <c r="E300" s="245"/>
      <c r="F300" s="244">
        <v>280000</v>
      </c>
      <c r="G300" s="245"/>
    </row>
    <row r="301" spans="1:7" ht="37.5" x14ac:dyDescent="0.25">
      <c r="A301" s="13" t="s">
        <v>305</v>
      </c>
      <c r="B301" s="246">
        <v>500</v>
      </c>
      <c r="C301" s="247"/>
      <c r="D301" s="244">
        <v>12350.16</v>
      </c>
      <c r="E301" s="245"/>
      <c r="F301" s="244">
        <v>6175081.5</v>
      </c>
      <c r="G301" s="245"/>
    </row>
    <row r="302" spans="1:7" ht="18.75" x14ac:dyDescent="0.25">
      <c r="A302" s="13" t="s">
        <v>385</v>
      </c>
      <c r="B302" s="246"/>
      <c r="C302" s="247"/>
      <c r="D302" s="244"/>
      <c r="E302" s="245"/>
      <c r="F302" s="244"/>
      <c r="G302" s="245"/>
    </row>
    <row r="303" spans="1:7" ht="18.75" x14ac:dyDescent="0.25">
      <c r="A303" s="13" t="s">
        <v>420</v>
      </c>
      <c r="B303" s="246">
        <v>1000</v>
      </c>
      <c r="C303" s="247"/>
      <c r="D303" s="244">
        <v>162.62</v>
      </c>
      <c r="E303" s="245"/>
      <c r="F303" s="244">
        <v>162620</v>
      </c>
      <c r="G303" s="245"/>
    </row>
    <row r="304" spans="1:7" ht="18.75" x14ac:dyDescent="0.25">
      <c r="A304" s="13" t="s">
        <v>421</v>
      </c>
      <c r="B304" s="246">
        <v>500</v>
      </c>
      <c r="C304" s="247"/>
      <c r="D304" s="244">
        <v>525.54</v>
      </c>
      <c r="E304" s="245"/>
      <c r="F304" s="244">
        <v>262770</v>
      </c>
      <c r="G304" s="245"/>
    </row>
    <row r="305" spans="1:7" ht="37.5" x14ac:dyDescent="0.25">
      <c r="A305" s="13" t="s">
        <v>422</v>
      </c>
      <c r="B305" s="246">
        <v>30</v>
      </c>
      <c r="C305" s="247"/>
      <c r="D305" s="244">
        <v>212.51</v>
      </c>
      <c r="E305" s="245"/>
      <c r="F305" s="244">
        <v>6375.3</v>
      </c>
      <c r="G305" s="245"/>
    </row>
    <row r="306" spans="1:7" ht="37.5" x14ac:dyDescent="0.25">
      <c r="A306" s="13" t="s">
        <v>441</v>
      </c>
      <c r="B306" s="246">
        <v>12</v>
      </c>
      <c r="C306" s="247"/>
      <c r="D306" s="244">
        <v>13858.18</v>
      </c>
      <c r="E306" s="245"/>
      <c r="F306" s="244">
        <v>166298.20000000001</v>
      </c>
      <c r="G306" s="245"/>
    </row>
    <row r="307" spans="1:7" ht="18.75" x14ac:dyDescent="0.25">
      <c r="A307" s="13" t="s">
        <v>424</v>
      </c>
      <c r="B307" s="246">
        <v>1000</v>
      </c>
      <c r="C307" s="247"/>
      <c r="D307" s="244">
        <v>8.31</v>
      </c>
      <c r="E307" s="245"/>
      <c r="F307" s="244">
        <v>8310</v>
      </c>
      <c r="G307" s="245"/>
    </row>
    <row r="308" spans="1:7" ht="18.75" x14ac:dyDescent="0.25">
      <c r="A308" s="13" t="s">
        <v>301</v>
      </c>
      <c r="B308" s="246">
        <v>1000</v>
      </c>
      <c r="C308" s="247"/>
      <c r="D308" s="244">
        <v>277.19</v>
      </c>
      <c r="E308" s="245"/>
      <c r="F308" s="244">
        <v>277190</v>
      </c>
      <c r="G308" s="245"/>
    </row>
    <row r="309" spans="1:7" ht="18.75" x14ac:dyDescent="0.25">
      <c r="A309" s="13" t="s">
        <v>425</v>
      </c>
      <c r="B309" s="246">
        <v>70</v>
      </c>
      <c r="C309" s="247"/>
      <c r="D309" s="244">
        <v>791.95</v>
      </c>
      <c r="E309" s="245"/>
      <c r="F309" s="244">
        <v>55436.5</v>
      </c>
      <c r="G309" s="245"/>
    </row>
    <row r="310" spans="1:7" ht="18.75" x14ac:dyDescent="0.25">
      <c r="A310" s="13" t="s">
        <v>302</v>
      </c>
      <c r="B310" s="246">
        <v>2000</v>
      </c>
      <c r="C310" s="247"/>
      <c r="D310" s="244">
        <v>132.13</v>
      </c>
      <c r="E310" s="245"/>
      <c r="F310" s="244">
        <v>264260</v>
      </c>
      <c r="G310" s="245"/>
    </row>
    <row r="311" spans="1:7" ht="37.5" x14ac:dyDescent="0.25">
      <c r="A311" s="13" t="s">
        <v>305</v>
      </c>
      <c r="B311" s="246">
        <v>80</v>
      </c>
      <c r="C311" s="247"/>
      <c r="D311" s="244">
        <v>3926.75</v>
      </c>
      <c r="E311" s="245"/>
      <c r="F311" s="244">
        <v>314140</v>
      </c>
      <c r="G311" s="245"/>
    </row>
    <row r="312" spans="1:7" ht="18.75" x14ac:dyDescent="0.25">
      <c r="A312" s="13" t="s">
        <v>243</v>
      </c>
      <c r="B312" s="250"/>
      <c r="C312" s="251"/>
      <c r="D312" s="244"/>
      <c r="E312" s="245"/>
      <c r="F312" s="244">
        <f>'гос.задание на 2023-2024 год '!D101</f>
        <v>148700</v>
      </c>
      <c r="G312" s="245"/>
    </row>
    <row r="313" spans="1:7" ht="37.5" x14ac:dyDescent="0.25">
      <c r="A313" s="13" t="s">
        <v>391</v>
      </c>
      <c r="B313" s="246">
        <v>100000</v>
      </c>
      <c r="C313" s="247"/>
      <c r="D313" s="244">
        <v>1.48</v>
      </c>
      <c r="E313" s="245"/>
      <c r="F313" s="244">
        <v>148700</v>
      </c>
      <c r="G313" s="245"/>
    </row>
    <row r="314" spans="1:7" ht="18.75" x14ac:dyDescent="0.25">
      <c r="A314" s="15"/>
      <c r="B314" s="16"/>
      <c r="C314" s="16"/>
      <c r="D314" s="16"/>
      <c r="E314" s="16"/>
      <c r="F314" s="78"/>
      <c r="G314" s="78"/>
    </row>
    <row r="315" spans="1:7" ht="18.75" x14ac:dyDescent="0.25">
      <c r="A315" s="29"/>
    </row>
    <row r="316" spans="1:7" ht="18.75" x14ac:dyDescent="0.3">
      <c r="A316" s="29" t="s">
        <v>151</v>
      </c>
      <c r="B316" s="10"/>
      <c r="C316" s="219"/>
      <c r="D316" s="219"/>
      <c r="E316" s="10"/>
      <c r="F316" s="219" t="s">
        <v>465</v>
      </c>
      <c r="G316" s="219"/>
    </row>
    <row r="317" spans="1:7" ht="18.75" x14ac:dyDescent="0.3">
      <c r="A317" s="29"/>
      <c r="B317" s="10"/>
      <c r="C317" s="218" t="s">
        <v>53</v>
      </c>
      <c r="D317" s="218"/>
      <c r="E317" s="10"/>
      <c r="F317" s="218" t="s">
        <v>54</v>
      </c>
      <c r="G317" s="218"/>
    </row>
    <row r="318" spans="1:7" ht="18.75" x14ac:dyDescent="0.3">
      <c r="A318" s="29"/>
      <c r="B318" s="10"/>
      <c r="C318" s="204"/>
      <c r="D318" s="204"/>
      <c r="E318" s="10"/>
      <c r="F318" s="204"/>
      <c r="G318" s="204"/>
    </row>
    <row r="319" spans="1:7" ht="18.75" x14ac:dyDescent="0.3">
      <c r="A319" s="29" t="s">
        <v>152</v>
      </c>
      <c r="B319" s="10"/>
      <c r="C319" s="219"/>
      <c r="D319" s="219"/>
      <c r="E319" s="10"/>
      <c r="F319" s="219" t="s">
        <v>341</v>
      </c>
      <c r="G319" s="219"/>
    </row>
    <row r="320" spans="1:7" ht="18.75" x14ac:dyDescent="0.3">
      <c r="A320" s="29"/>
      <c r="B320" s="10"/>
      <c r="C320" s="218" t="s">
        <v>53</v>
      </c>
      <c r="D320" s="218"/>
      <c r="E320" s="10"/>
      <c r="F320" s="218" t="s">
        <v>54</v>
      </c>
      <c r="G320" s="218"/>
    </row>
    <row r="321" spans="1:7" ht="18.75" x14ac:dyDescent="0.3">
      <c r="A321" s="29"/>
      <c r="B321" s="10"/>
      <c r="C321" s="204"/>
      <c r="D321" s="204"/>
      <c r="E321" s="10"/>
      <c r="F321" s="204"/>
      <c r="G321" s="204"/>
    </row>
    <row r="322" spans="1:7" ht="18.75" x14ac:dyDescent="0.3">
      <c r="A322" s="29" t="s">
        <v>153</v>
      </c>
      <c r="B322" s="10"/>
      <c r="C322" s="219"/>
      <c r="D322" s="219"/>
      <c r="E322" s="10"/>
      <c r="F322" s="219" t="s">
        <v>341</v>
      </c>
      <c r="G322" s="219"/>
    </row>
    <row r="323" spans="1:7" ht="18.75" x14ac:dyDescent="0.3">
      <c r="A323" s="29"/>
      <c r="B323" s="10"/>
      <c r="C323" s="218" t="s">
        <v>53</v>
      </c>
      <c r="D323" s="218"/>
      <c r="E323" s="10"/>
      <c r="F323" s="218" t="s">
        <v>54</v>
      </c>
      <c r="G323" s="218"/>
    </row>
    <row r="324" spans="1:7" ht="18.75" x14ac:dyDescent="0.3">
      <c r="A324" s="29" t="s">
        <v>154</v>
      </c>
      <c r="B324" s="10"/>
      <c r="C324" s="10"/>
      <c r="D324" s="10"/>
      <c r="E324" s="10"/>
      <c r="F324" s="10"/>
      <c r="G324" s="10"/>
    </row>
    <row r="325" spans="1:7" ht="18.75" x14ac:dyDescent="0.3">
      <c r="A325" s="217" t="s">
        <v>44</v>
      </c>
      <c r="B325" s="217"/>
      <c r="C325" s="10"/>
      <c r="D325" s="10"/>
      <c r="E325" s="10"/>
      <c r="F325" s="10"/>
      <c r="G325" s="10"/>
    </row>
  </sheetData>
  <mergeCells count="485">
    <mergeCell ref="C323:D323"/>
    <mergeCell ref="F323:G323"/>
    <mergeCell ref="A325:B325"/>
    <mergeCell ref="C319:D319"/>
    <mergeCell ref="F319:G319"/>
    <mergeCell ref="C320:D320"/>
    <mergeCell ref="F320:G320"/>
    <mergeCell ref="C322:D322"/>
    <mergeCell ref="F322:G322"/>
    <mergeCell ref="B313:C313"/>
    <mergeCell ref="D313:E313"/>
    <mergeCell ref="F313:G313"/>
    <mergeCell ref="C316:D316"/>
    <mergeCell ref="F316:G316"/>
    <mergeCell ref="C317:D317"/>
    <mergeCell ref="F317:G317"/>
    <mergeCell ref="B311:C311"/>
    <mergeCell ref="D311:E311"/>
    <mergeCell ref="F311:G311"/>
    <mergeCell ref="B312:C312"/>
    <mergeCell ref="D312:E312"/>
    <mergeCell ref="F312:G312"/>
    <mergeCell ref="B309:C309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B305:C305"/>
    <mergeCell ref="D305:E305"/>
    <mergeCell ref="F305:G305"/>
    <mergeCell ref="B306:C306"/>
    <mergeCell ref="D306:E306"/>
    <mergeCell ref="F306:G306"/>
    <mergeCell ref="B303:C303"/>
    <mergeCell ref="D303:E303"/>
    <mergeCell ref="F303:G303"/>
    <mergeCell ref="B304:C304"/>
    <mergeCell ref="D304:E304"/>
    <mergeCell ref="F304:G304"/>
    <mergeCell ref="B301:C301"/>
    <mergeCell ref="D301:E301"/>
    <mergeCell ref="F301:G301"/>
    <mergeCell ref="B302:C302"/>
    <mergeCell ref="D302:E302"/>
    <mergeCell ref="F302:G302"/>
    <mergeCell ref="B299:C299"/>
    <mergeCell ref="D299:E299"/>
    <mergeCell ref="F299:G299"/>
    <mergeCell ref="B300:C300"/>
    <mergeCell ref="D300:E300"/>
    <mergeCell ref="F300:G300"/>
    <mergeCell ref="B297:C297"/>
    <mergeCell ref="D297:E297"/>
    <mergeCell ref="F297:G297"/>
    <mergeCell ref="B298:C298"/>
    <mergeCell ref="D298:E298"/>
    <mergeCell ref="F298:G298"/>
    <mergeCell ref="B295:C295"/>
    <mergeCell ref="D295:E295"/>
    <mergeCell ref="F295:G295"/>
    <mergeCell ref="B296:C296"/>
    <mergeCell ref="D296:E296"/>
    <mergeCell ref="F296:G296"/>
    <mergeCell ref="B293:C293"/>
    <mergeCell ref="D293:E293"/>
    <mergeCell ref="F293:G293"/>
    <mergeCell ref="B294:C294"/>
    <mergeCell ref="D294:E294"/>
    <mergeCell ref="F294:G294"/>
    <mergeCell ref="B291:C291"/>
    <mergeCell ref="D291:E291"/>
    <mergeCell ref="F291:G291"/>
    <mergeCell ref="B292:C292"/>
    <mergeCell ref="D292:E292"/>
    <mergeCell ref="F292:G292"/>
    <mergeCell ref="B289:C289"/>
    <mergeCell ref="D289:E289"/>
    <mergeCell ref="F289:G289"/>
    <mergeCell ref="B290:C290"/>
    <mergeCell ref="D290:E290"/>
    <mergeCell ref="F290:G290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D282:E282"/>
    <mergeCell ref="F282:G282"/>
    <mergeCell ref="A273:B273"/>
    <mergeCell ref="C273:D273"/>
    <mergeCell ref="E273:G273"/>
    <mergeCell ref="A276:G276"/>
    <mergeCell ref="B280:C280"/>
    <mergeCell ref="D280:E280"/>
    <mergeCell ref="F280:G280"/>
    <mergeCell ref="A267:G267"/>
    <mergeCell ref="A271:B271"/>
    <mergeCell ref="C271:D271"/>
    <mergeCell ref="E271:G271"/>
    <mergeCell ref="A272:B272"/>
    <mergeCell ref="C272:D272"/>
    <mergeCell ref="E272:G272"/>
    <mergeCell ref="A264:C264"/>
    <mergeCell ref="D264:E264"/>
    <mergeCell ref="F264:G264"/>
    <mergeCell ref="A265:C265"/>
    <mergeCell ref="D265:E265"/>
    <mergeCell ref="F265:G265"/>
    <mergeCell ref="A262:C262"/>
    <mergeCell ref="D262:E262"/>
    <mergeCell ref="F262:G262"/>
    <mergeCell ref="A263:C263"/>
    <mergeCell ref="D263:E263"/>
    <mergeCell ref="F263:G263"/>
    <mergeCell ref="A260:C260"/>
    <mergeCell ref="D260:E260"/>
    <mergeCell ref="F260:G260"/>
    <mergeCell ref="A261:C261"/>
    <mergeCell ref="D261:E261"/>
    <mergeCell ref="F261:G261"/>
    <mergeCell ref="A258:C258"/>
    <mergeCell ref="D258:E258"/>
    <mergeCell ref="F258:G258"/>
    <mergeCell ref="A259:C259"/>
    <mergeCell ref="D259:E259"/>
    <mergeCell ref="F259:G259"/>
    <mergeCell ref="A256:C256"/>
    <mergeCell ref="D256:E256"/>
    <mergeCell ref="F256:G256"/>
    <mergeCell ref="A257:C257"/>
    <mergeCell ref="D257:E257"/>
    <mergeCell ref="F257:G257"/>
    <mergeCell ref="A254:C254"/>
    <mergeCell ref="D254:E254"/>
    <mergeCell ref="F254:G254"/>
    <mergeCell ref="A255:C255"/>
    <mergeCell ref="D255:E255"/>
    <mergeCell ref="F255:G255"/>
    <mergeCell ref="A252:C252"/>
    <mergeCell ref="D252:E252"/>
    <mergeCell ref="F252:G252"/>
    <mergeCell ref="A253:C253"/>
    <mergeCell ref="D253:E253"/>
    <mergeCell ref="F253:G253"/>
    <mergeCell ref="A250:C250"/>
    <mergeCell ref="D250:E250"/>
    <mergeCell ref="F250:G250"/>
    <mergeCell ref="A251:C251"/>
    <mergeCell ref="D251:E251"/>
    <mergeCell ref="F251:G251"/>
    <mergeCell ref="A248:C248"/>
    <mergeCell ref="D248:E248"/>
    <mergeCell ref="F248:G248"/>
    <mergeCell ref="A249:C249"/>
    <mergeCell ref="D249:E249"/>
    <mergeCell ref="F249:G249"/>
    <mergeCell ref="A246:C246"/>
    <mergeCell ref="D246:E246"/>
    <mergeCell ref="F246:G246"/>
    <mergeCell ref="A247:C247"/>
    <mergeCell ref="D247:E247"/>
    <mergeCell ref="F247:G247"/>
    <mergeCell ref="A244:C244"/>
    <mergeCell ref="D244:E244"/>
    <mergeCell ref="F244:G244"/>
    <mergeCell ref="A245:C245"/>
    <mergeCell ref="D245:E245"/>
    <mergeCell ref="F245:G245"/>
    <mergeCell ref="A237:C237"/>
    <mergeCell ref="D237:E237"/>
    <mergeCell ref="F237:G237"/>
    <mergeCell ref="A239:G239"/>
    <mergeCell ref="A243:C243"/>
    <mergeCell ref="D243:E243"/>
    <mergeCell ref="F243:G243"/>
    <mergeCell ref="A235:C235"/>
    <mergeCell ref="D235:E235"/>
    <mergeCell ref="F235:G235"/>
    <mergeCell ref="A236:C236"/>
    <mergeCell ref="D236:E236"/>
    <mergeCell ref="F236:G236"/>
    <mergeCell ref="A233:C233"/>
    <mergeCell ref="D233:E233"/>
    <mergeCell ref="F233:G233"/>
    <mergeCell ref="A234:C234"/>
    <mergeCell ref="D234:E234"/>
    <mergeCell ref="F234:G234"/>
    <mergeCell ref="A231:C231"/>
    <mergeCell ref="D231:E231"/>
    <mergeCell ref="F231:G231"/>
    <mergeCell ref="A232:C232"/>
    <mergeCell ref="D232:E232"/>
    <mergeCell ref="F232:G232"/>
    <mergeCell ref="A229:C229"/>
    <mergeCell ref="D229:E229"/>
    <mergeCell ref="F229:G229"/>
    <mergeCell ref="A230:C230"/>
    <mergeCell ref="D230:E230"/>
    <mergeCell ref="F230:G230"/>
    <mergeCell ref="A227:C227"/>
    <mergeCell ref="D227:E227"/>
    <mergeCell ref="F227:G227"/>
    <mergeCell ref="A228:C228"/>
    <mergeCell ref="D228:E228"/>
    <mergeCell ref="F228:G228"/>
    <mergeCell ref="A225:C225"/>
    <mergeCell ref="D225:E225"/>
    <mergeCell ref="F225:G225"/>
    <mergeCell ref="A226:C226"/>
    <mergeCell ref="D226:E226"/>
    <mergeCell ref="F226:G226"/>
    <mergeCell ref="A223:C223"/>
    <mergeCell ref="D223:E223"/>
    <mergeCell ref="F223:G223"/>
    <mergeCell ref="A224:C224"/>
    <mergeCell ref="D224:E224"/>
    <mergeCell ref="F224:G224"/>
    <mergeCell ref="A221:C221"/>
    <mergeCell ref="D221:E221"/>
    <mergeCell ref="F221:G221"/>
    <mergeCell ref="A222:C222"/>
    <mergeCell ref="D222:E222"/>
    <mergeCell ref="F222:G222"/>
    <mergeCell ref="A219:C219"/>
    <mergeCell ref="D219:E219"/>
    <mergeCell ref="F219:G219"/>
    <mergeCell ref="A220:C220"/>
    <mergeCell ref="D220:E220"/>
    <mergeCell ref="F220:G220"/>
    <mergeCell ref="A217:C217"/>
    <mergeCell ref="D217:E217"/>
    <mergeCell ref="F217:G217"/>
    <mergeCell ref="A218:C218"/>
    <mergeCell ref="D218:E218"/>
    <mergeCell ref="F218:G218"/>
    <mergeCell ref="A215:C215"/>
    <mergeCell ref="D215:E215"/>
    <mergeCell ref="F215:G215"/>
    <mergeCell ref="A216:C216"/>
    <mergeCell ref="D216:E216"/>
    <mergeCell ref="F216:G216"/>
    <mergeCell ref="A213:C213"/>
    <mergeCell ref="D213:E213"/>
    <mergeCell ref="F213:G213"/>
    <mergeCell ref="A214:C214"/>
    <mergeCell ref="D214:E214"/>
    <mergeCell ref="F214:G214"/>
    <mergeCell ref="A211:C211"/>
    <mergeCell ref="D211:E211"/>
    <mergeCell ref="F211:G211"/>
    <mergeCell ref="A212:C212"/>
    <mergeCell ref="D212:E212"/>
    <mergeCell ref="F212:G212"/>
    <mergeCell ref="A209:C209"/>
    <mergeCell ref="D209:E209"/>
    <mergeCell ref="F209:G209"/>
    <mergeCell ref="A210:C210"/>
    <mergeCell ref="D210:E210"/>
    <mergeCell ref="F210:G210"/>
    <mergeCell ref="A207:C207"/>
    <mergeCell ref="D207:E207"/>
    <mergeCell ref="F207:G207"/>
    <mergeCell ref="A208:C208"/>
    <mergeCell ref="D208:E208"/>
    <mergeCell ref="F208:G208"/>
    <mergeCell ref="A205:C205"/>
    <mergeCell ref="D205:E205"/>
    <mergeCell ref="F205:G205"/>
    <mergeCell ref="A206:C206"/>
    <mergeCell ref="D206:E206"/>
    <mergeCell ref="F206:G206"/>
    <mergeCell ref="A203:C203"/>
    <mergeCell ref="D203:E203"/>
    <mergeCell ref="F203:G203"/>
    <mergeCell ref="A204:C204"/>
    <mergeCell ref="D204:E204"/>
    <mergeCell ref="F204:G204"/>
    <mergeCell ref="A201:C201"/>
    <mergeCell ref="D201:E201"/>
    <mergeCell ref="F201:G201"/>
    <mergeCell ref="A202:C202"/>
    <mergeCell ref="D202:E202"/>
    <mergeCell ref="F202:G202"/>
    <mergeCell ref="A199:C199"/>
    <mergeCell ref="D199:E199"/>
    <mergeCell ref="F199:G199"/>
    <mergeCell ref="A200:C200"/>
    <mergeCell ref="D200:E200"/>
    <mergeCell ref="F200:G200"/>
    <mergeCell ref="A197:C197"/>
    <mergeCell ref="D197:E197"/>
    <mergeCell ref="F197:G197"/>
    <mergeCell ref="A198:C198"/>
    <mergeCell ref="D198:E198"/>
    <mergeCell ref="F198:G198"/>
    <mergeCell ref="A195:C195"/>
    <mergeCell ref="D195:E195"/>
    <mergeCell ref="F195:G195"/>
    <mergeCell ref="A196:C196"/>
    <mergeCell ref="D196:E196"/>
    <mergeCell ref="F196:G196"/>
    <mergeCell ref="A193:C193"/>
    <mergeCell ref="D193:E193"/>
    <mergeCell ref="F193:G193"/>
    <mergeCell ref="A194:C194"/>
    <mergeCell ref="D194:E194"/>
    <mergeCell ref="F194:G194"/>
    <mergeCell ref="B186:C186"/>
    <mergeCell ref="D186:E186"/>
    <mergeCell ref="F186:G186"/>
    <mergeCell ref="A188:G188"/>
    <mergeCell ref="A192:C192"/>
    <mergeCell ref="D192:E192"/>
    <mergeCell ref="F192:G192"/>
    <mergeCell ref="B182:C182"/>
    <mergeCell ref="D182:E182"/>
    <mergeCell ref="F182:G183"/>
    <mergeCell ref="B183:C183"/>
    <mergeCell ref="D183:E183"/>
    <mergeCell ref="B184:C184"/>
    <mergeCell ref="D184:E184"/>
    <mergeCell ref="F184:G185"/>
    <mergeCell ref="B185:C185"/>
    <mergeCell ref="D185:E185"/>
    <mergeCell ref="B178:C178"/>
    <mergeCell ref="D178:E178"/>
    <mergeCell ref="F178:G179"/>
    <mergeCell ref="B179:C179"/>
    <mergeCell ref="D179:E179"/>
    <mergeCell ref="B180:C180"/>
    <mergeCell ref="D180:E180"/>
    <mergeCell ref="F180:G181"/>
    <mergeCell ref="B181:C181"/>
    <mergeCell ref="D181:E181"/>
    <mergeCell ref="B176:C176"/>
    <mergeCell ref="D176:E176"/>
    <mergeCell ref="F176:G176"/>
    <mergeCell ref="B177:C177"/>
    <mergeCell ref="D177:E177"/>
    <mergeCell ref="F177:G177"/>
    <mergeCell ref="B169:C169"/>
    <mergeCell ref="D169:E169"/>
    <mergeCell ref="F169:G169"/>
    <mergeCell ref="A171:G171"/>
    <mergeCell ref="B175:C175"/>
    <mergeCell ref="D175:E175"/>
    <mergeCell ref="F175:G175"/>
    <mergeCell ref="B167:C167"/>
    <mergeCell ref="D167:E167"/>
    <mergeCell ref="F167:G167"/>
    <mergeCell ref="B168:C168"/>
    <mergeCell ref="D168:E168"/>
    <mergeCell ref="F168:G168"/>
    <mergeCell ref="B165:C165"/>
    <mergeCell ref="D165:E165"/>
    <mergeCell ref="F165:G165"/>
    <mergeCell ref="B166:C166"/>
    <mergeCell ref="D166:E166"/>
    <mergeCell ref="F166:G166"/>
    <mergeCell ref="B163:C163"/>
    <mergeCell ref="D163:E163"/>
    <mergeCell ref="F163:G163"/>
    <mergeCell ref="B164:C164"/>
    <mergeCell ref="D164:E164"/>
    <mergeCell ref="F164:G164"/>
    <mergeCell ref="A157:G157"/>
    <mergeCell ref="B161:C161"/>
    <mergeCell ref="D161:E161"/>
    <mergeCell ref="F161:G161"/>
    <mergeCell ref="B162:C162"/>
    <mergeCell ref="D162:E162"/>
    <mergeCell ref="F162:G162"/>
    <mergeCell ref="B154:C154"/>
    <mergeCell ref="D154:E154"/>
    <mergeCell ref="F154:G154"/>
    <mergeCell ref="B155:C155"/>
    <mergeCell ref="D155:E155"/>
    <mergeCell ref="F155:G155"/>
    <mergeCell ref="B149:C149"/>
    <mergeCell ref="D149:E149"/>
    <mergeCell ref="F149:G149"/>
    <mergeCell ref="B153:C153"/>
    <mergeCell ref="D153:E153"/>
    <mergeCell ref="F153:G153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35:C135"/>
    <mergeCell ref="D135:E135"/>
    <mergeCell ref="F135:G135"/>
    <mergeCell ref="A137:G137"/>
    <mergeCell ref="B140:C140"/>
    <mergeCell ref="D140:E140"/>
    <mergeCell ref="F140:G140"/>
    <mergeCell ref="A129:G129"/>
    <mergeCell ref="B133:C133"/>
    <mergeCell ref="D133:E133"/>
    <mergeCell ref="F133:G133"/>
    <mergeCell ref="B134:C134"/>
    <mergeCell ref="D134:E134"/>
    <mergeCell ref="F134:G134"/>
    <mergeCell ref="A121:G121"/>
    <mergeCell ref="C125:D125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A70:G70"/>
    <mergeCell ref="A78:G78"/>
    <mergeCell ref="A85:G85"/>
    <mergeCell ref="A97:G97"/>
    <mergeCell ref="A102:G102"/>
    <mergeCell ref="A116:A117"/>
    <mergeCell ref="B116:C117"/>
    <mergeCell ref="D116:E117"/>
    <mergeCell ref="F116:G117"/>
    <mergeCell ref="A31:G31"/>
    <mergeCell ref="A38:G38"/>
    <mergeCell ref="A42:G42"/>
    <mergeCell ref="A47:G47"/>
    <mergeCell ref="A56:G56"/>
    <mergeCell ref="A60:G60"/>
    <mergeCell ref="A13:G13"/>
    <mergeCell ref="A15:G15"/>
    <mergeCell ref="A19:A21"/>
    <mergeCell ref="B19:B21"/>
    <mergeCell ref="C19:F19"/>
    <mergeCell ref="G19:G21"/>
    <mergeCell ref="C20:C21"/>
    <mergeCell ref="D20:F20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51" max="6" man="1"/>
    <brk id="112" max="6" man="1"/>
    <brk id="156" max="6" man="1"/>
    <brk id="217" max="6" man="1"/>
    <brk id="253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1"/>
  <sheetViews>
    <sheetView view="pageBreakPreview" topLeftCell="A73" zoomScaleNormal="100" zoomScaleSheetLayoutView="100" workbookViewId="0">
      <selection activeCell="B85" sqref="B8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24.28515625" style="7" customWidth="1"/>
    <col min="10" max="10" width="8.85546875" style="7"/>
    <col min="11" max="16" width="12.28515625" style="7" bestFit="1" customWidth="1"/>
    <col min="17" max="16384" width="8.85546875" style="7"/>
  </cols>
  <sheetData>
    <row r="1" spans="1:9" ht="18.75" x14ac:dyDescent="0.25">
      <c r="A1" s="232" t="s">
        <v>265</v>
      </c>
      <c r="B1" s="232"/>
      <c r="C1" s="232"/>
      <c r="D1" s="232"/>
      <c r="E1" s="232"/>
      <c r="F1" s="232"/>
      <c r="G1" s="232"/>
      <c r="H1" s="232"/>
      <c r="I1" s="232"/>
    </row>
    <row r="2" spans="1:9" ht="18.75" x14ac:dyDescent="0.25">
      <c r="A2" s="232" t="s">
        <v>74</v>
      </c>
      <c r="B2" s="232"/>
      <c r="C2" s="232"/>
      <c r="D2" s="232"/>
      <c r="E2" s="232"/>
      <c r="F2" s="232"/>
      <c r="G2" s="232"/>
      <c r="H2" s="232"/>
      <c r="I2" s="232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73</v>
      </c>
      <c r="F5" s="226"/>
      <c r="G5" s="226" t="s">
        <v>1</v>
      </c>
      <c r="H5" s="226" t="s">
        <v>73</v>
      </c>
      <c r="I5" s="226"/>
    </row>
    <row r="6" spans="1:9" ht="79.5" thickBot="1" x14ac:dyDescent="0.3">
      <c r="A6" s="225"/>
      <c r="B6" s="227"/>
      <c r="C6" s="229"/>
      <c r="D6" s="227"/>
      <c r="E6" s="117" t="s">
        <v>3</v>
      </c>
      <c r="F6" s="117" t="s">
        <v>4</v>
      </c>
      <c r="G6" s="227"/>
      <c r="H6" s="117" t="s">
        <v>3</v>
      </c>
      <c r="I6" s="38" t="s">
        <v>4</v>
      </c>
    </row>
    <row r="7" spans="1:9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4" si="0">E9+F9</f>
        <v>0</v>
      </c>
      <c r="E9" s="5">
        <f>E8+E10-E25+E103</f>
        <v>0</v>
      </c>
      <c r="F9" s="5">
        <f>F8+F10-F25+F103</f>
        <v>0</v>
      </c>
      <c r="G9" s="5">
        <f t="shared" ref="G9:G10" si="1">H9+I9</f>
        <v>0</v>
      </c>
      <c r="H9" s="5">
        <f>H8+H10-H25+H103</f>
        <v>0</v>
      </c>
      <c r="I9" s="5">
        <f>I8+I10-I25+I103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 t="shared" si="0"/>
        <v>0</v>
      </c>
      <c r="E10" s="2">
        <f>E12+E13+E14+E15+E16+E17+E21</f>
        <v>0</v>
      </c>
      <c r="F10" s="2">
        <f>F12+F13+F14+F15+F16+F17+F21+F98</f>
        <v>0</v>
      </c>
      <c r="G10" s="2">
        <f t="shared" si="1"/>
        <v>0</v>
      </c>
      <c r="H10" s="2">
        <f>H12+H13+H14+H15+H16+H17+H21</f>
        <v>0</v>
      </c>
      <c r="I10" s="4">
        <f>I12+I13+I14+I15+I16+I17+I21+I98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37.5" x14ac:dyDescent="0.25">
      <c r="A12" s="115" t="s">
        <v>66</v>
      </c>
      <c r="B12" s="119">
        <v>120</v>
      </c>
      <c r="C12" s="119" t="s">
        <v>5</v>
      </c>
      <c r="D12" s="2">
        <f t="shared" si="0"/>
        <v>0</v>
      </c>
      <c r="E12" s="2"/>
      <c r="F12" s="2"/>
      <c r="G12" s="2">
        <f t="shared" ref="G12:G17" si="2">H12+I12</f>
        <v>0</v>
      </c>
      <c r="H12" s="2"/>
      <c r="I12" s="4"/>
    </row>
    <row r="13" spans="1:9" ht="93.75" x14ac:dyDescent="0.25">
      <c r="A13" s="115" t="s">
        <v>65</v>
      </c>
      <c r="B13" s="119">
        <v>130</v>
      </c>
      <c r="C13" s="119" t="s">
        <v>5</v>
      </c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">
        <f t="shared" ref="E17" si="3">E19+E20</f>
        <v>0</v>
      </c>
      <c r="F17" s="2">
        <f t="shared" ref="F17" si="4">F19+F20</f>
        <v>0</v>
      </c>
      <c r="G17" s="2">
        <f t="shared" si="2"/>
        <v>0</v>
      </c>
      <c r="H17" s="2">
        <f t="shared" ref="H17" si="5">H19+H20</f>
        <v>0</v>
      </c>
      <c r="I17" s="4">
        <f t="shared" ref="I17" si="6">I19+I20</f>
        <v>0</v>
      </c>
    </row>
    <row r="18" spans="1:9" ht="18.75" x14ac:dyDescent="0.25">
      <c r="A18" s="115" t="s">
        <v>6</v>
      </c>
      <c r="B18" s="119"/>
      <c r="C18" s="119"/>
      <c r="D18" s="2"/>
      <c r="E18" s="2"/>
      <c r="F18" s="2"/>
      <c r="G18" s="2"/>
      <c r="H18" s="2"/>
      <c r="I18" s="4"/>
    </row>
    <row r="19" spans="1:9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"/>
      <c r="F19" s="2"/>
      <c r="G19" s="2">
        <f t="shared" ref="G19:G21" si="7">H19+I19</f>
        <v>0</v>
      </c>
      <c r="H19" s="2"/>
      <c r="I19" s="4"/>
    </row>
    <row r="20" spans="1:9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"/>
      <c r="F20" s="2"/>
      <c r="G20" s="2">
        <f t="shared" si="7"/>
        <v>0</v>
      </c>
      <c r="H20" s="2"/>
      <c r="I20" s="4"/>
    </row>
    <row r="21" spans="1:9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">
        <f t="shared" ref="E21" si="8">E23+E24</f>
        <v>0</v>
      </c>
      <c r="F21" s="2">
        <f t="shared" ref="F21" si="9">F23+F24</f>
        <v>0</v>
      </c>
      <c r="G21" s="2">
        <f t="shared" si="7"/>
        <v>0</v>
      </c>
      <c r="H21" s="2">
        <f t="shared" ref="H21" si="10">H23+H24</f>
        <v>0</v>
      </c>
      <c r="I21" s="4">
        <f t="shared" ref="I21" si="11">I23+I24</f>
        <v>0</v>
      </c>
    </row>
    <row r="22" spans="1:9" ht="18.75" x14ac:dyDescent="0.25">
      <c r="A22" s="115" t="s">
        <v>9</v>
      </c>
      <c r="B22" s="119"/>
      <c r="C22" s="119"/>
      <c r="D22" s="2"/>
      <c r="E22" s="2"/>
      <c r="F22" s="2"/>
      <c r="G22" s="2"/>
      <c r="H22" s="2"/>
      <c r="I22" s="4"/>
    </row>
    <row r="23" spans="1:9" ht="131.25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"/>
      <c r="F23" s="2"/>
      <c r="G23" s="2">
        <f t="shared" ref="G23:G25" si="12">H23+I23</f>
        <v>0</v>
      </c>
      <c r="H23" s="2"/>
      <c r="I23" s="4"/>
    </row>
    <row r="24" spans="1:9" ht="150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"/>
      <c r="F24" s="2"/>
      <c r="G24" s="2">
        <f t="shared" si="1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E27+E89</f>
        <v>0</v>
      </c>
      <c r="F25" s="2">
        <f>F27+F89</f>
        <v>0</v>
      </c>
      <c r="G25" s="5">
        <f t="shared" si="12"/>
        <v>0</v>
      </c>
      <c r="H25" s="2">
        <f>H27+H89</f>
        <v>0</v>
      </c>
      <c r="I25" s="2">
        <f>I27+I89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2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E29+E37+E62+E69</f>
        <v>0</v>
      </c>
      <c r="F27" s="2">
        <f>F29+F37+F62+F69</f>
        <v>0</v>
      </c>
      <c r="G27" s="5">
        <f t="shared" ref="G27" si="13">H27+I27</f>
        <v>0</v>
      </c>
      <c r="H27" s="2">
        <f>H29+H37+H62+H69</f>
        <v>0</v>
      </c>
      <c r="I27" s="2">
        <f>I29+I37+I62+I69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2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14">H29+I29</f>
        <v>0</v>
      </c>
      <c r="H29" s="2">
        <f>H31+H32+H33+H34</f>
        <v>0</v>
      </c>
      <c r="I29" s="2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2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15">H31+I31</f>
        <v>0</v>
      </c>
      <c r="H31" s="2"/>
      <c r="I31" s="2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15"/>
        <v>0</v>
      </c>
      <c r="H32" s="2"/>
      <c r="I32" s="2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15"/>
        <v>0</v>
      </c>
      <c r="H33" s="2"/>
      <c r="I33" s="2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2">
        <f>I35+I36</f>
        <v>0</v>
      </c>
    </row>
    <row r="35" spans="1:9" ht="18.75" x14ac:dyDescent="0.25">
      <c r="A35" s="230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16">H35+I35</f>
        <v>0</v>
      </c>
      <c r="H35" s="2"/>
      <c r="I35" s="2"/>
    </row>
    <row r="36" spans="1:9" ht="14.45" customHeight="1" x14ac:dyDescent="0.25">
      <c r="A36" s="231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2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>E37+F37</f>
        <v>0</v>
      </c>
      <c r="E37" s="2">
        <f>E39+E40+E43+E50+E51+E54+E60+E61</f>
        <v>0</v>
      </c>
      <c r="F37" s="2">
        <f>F39+F40+F43+F50+F51+F54+F60+F61</f>
        <v>0</v>
      </c>
      <c r="G37" s="5">
        <f t="shared" ref="G37" si="17">H37+I37</f>
        <v>0</v>
      </c>
      <c r="H37" s="2">
        <f>H39+H40+H43+H50+H51+H54+H60+H61</f>
        <v>0</v>
      </c>
      <c r="I37" s="2">
        <f>I39+I40+I43+I50+I51+I54+I60+I61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2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18">H39+I39</f>
        <v>0</v>
      </c>
      <c r="H39" s="2"/>
      <c r="I39" s="2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18"/>
        <v>0</v>
      </c>
      <c r="H40" s="2">
        <f>H41+H42</f>
        <v>0</v>
      </c>
      <c r="I40" s="2">
        <f>I41+I42</f>
        <v>0</v>
      </c>
    </row>
    <row r="41" spans="1:9" ht="22.9" customHeight="1" x14ac:dyDescent="0.25">
      <c r="A41" s="216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18"/>
        <v>0</v>
      </c>
      <c r="H41" s="2"/>
      <c r="I41" s="2"/>
    </row>
    <row r="42" spans="1:9" ht="18.75" x14ac:dyDescent="0.25">
      <c r="A42" s="216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18"/>
        <v>0</v>
      </c>
      <c r="H42" s="2"/>
      <c r="I42" s="2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" si="19">E45+E46+E47+E48+E49</f>
        <v>0</v>
      </c>
      <c r="F43" s="2">
        <f t="shared" ref="F43" si="20">F45+F46+F47+F48+F49</f>
        <v>0</v>
      </c>
      <c r="G43" s="5">
        <f t="shared" si="18"/>
        <v>0</v>
      </c>
      <c r="H43" s="2">
        <f t="shared" ref="H43" si="21">H45+H46+H47+H48+H49</f>
        <v>0</v>
      </c>
      <c r="I43" s="2">
        <f t="shared" ref="I43" si="22">I45+I46+I47+I48+I49</f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2"/>
    </row>
    <row r="45" spans="1:9" ht="56.25" x14ac:dyDescent="0.25">
      <c r="A45" s="115" t="s">
        <v>18</v>
      </c>
      <c r="B45" s="119">
        <v>247</v>
      </c>
      <c r="C45" s="119">
        <v>223</v>
      </c>
      <c r="D45" s="5">
        <f t="shared" si="0"/>
        <v>0</v>
      </c>
      <c r="E45" s="2"/>
      <c r="F45" s="2"/>
      <c r="G45" s="5">
        <f t="shared" ref="G45:G50" si="23">H45+I45</f>
        <v>0</v>
      </c>
      <c r="H45" s="2"/>
      <c r="I45" s="2"/>
    </row>
    <row r="46" spans="1:9" ht="37.5" x14ac:dyDescent="0.25">
      <c r="A46" s="115" t="s">
        <v>19</v>
      </c>
      <c r="B46" s="119">
        <v>247</v>
      </c>
      <c r="C46" s="119">
        <v>223</v>
      </c>
      <c r="D46" s="5">
        <f t="shared" si="0"/>
        <v>0</v>
      </c>
      <c r="E46" s="2"/>
      <c r="F46" s="2"/>
      <c r="G46" s="5">
        <f t="shared" si="23"/>
        <v>0</v>
      </c>
      <c r="H46" s="2"/>
      <c r="I46" s="2"/>
    </row>
    <row r="47" spans="1:9" ht="138.6" customHeight="1" x14ac:dyDescent="0.25">
      <c r="A47" s="115" t="s">
        <v>20</v>
      </c>
      <c r="B47" s="119">
        <v>247</v>
      </c>
      <c r="C47" s="119">
        <v>223</v>
      </c>
      <c r="D47" s="5">
        <f t="shared" si="0"/>
        <v>0</v>
      </c>
      <c r="E47" s="2"/>
      <c r="F47" s="2"/>
      <c r="G47" s="5">
        <f t="shared" si="23"/>
        <v>0</v>
      </c>
      <c r="H47" s="2"/>
      <c r="I47" s="2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23"/>
        <v>0</v>
      </c>
      <c r="H48" s="2"/>
      <c r="I48" s="2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23"/>
        <v>0</v>
      </c>
      <c r="H49" s="2"/>
      <c r="I49" s="2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23"/>
        <v>0</v>
      </c>
      <c r="H50" s="2"/>
      <c r="I50" s="2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G51" si="24">D52+D53</f>
        <v>0</v>
      </c>
      <c r="E51" s="2">
        <f>E52+E53</f>
        <v>0</v>
      </c>
      <c r="F51" s="2">
        <f t="shared" si="24"/>
        <v>0</v>
      </c>
      <c r="G51" s="2">
        <f t="shared" si="24"/>
        <v>0</v>
      </c>
      <c r="H51" s="2">
        <f>H52+H53</f>
        <v>0</v>
      </c>
      <c r="I51" s="2">
        <f t="shared" ref="I51" si="25">I52+I53</f>
        <v>0</v>
      </c>
    </row>
    <row r="52" spans="1:9" ht="18.75" x14ac:dyDescent="0.25">
      <c r="A52" s="216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89" si="26">H52+I52</f>
        <v>0</v>
      </c>
      <c r="H52" s="2"/>
      <c r="I52" s="2"/>
    </row>
    <row r="53" spans="1:9" ht="18.75" x14ac:dyDescent="0.25">
      <c r="A53" s="216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26"/>
        <v>0</v>
      </c>
      <c r="H53" s="2"/>
      <c r="I53" s="2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26"/>
        <v>0</v>
      </c>
      <c r="H54" s="2">
        <f>H55+H56+H58+H59+H57</f>
        <v>0</v>
      </c>
      <c r="I54" s="2">
        <f>I55+I56+I58+I59+I57</f>
        <v>0</v>
      </c>
    </row>
    <row r="55" spans="1:9" ht="18.75" x14ac:dyDescent="0.25">
      <c r="A55" s="216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26"/>
        <v>0</v>
      </c>
      <c r="H55" s="2"/>
      <c r="I55" s="2"/>
    </row>
    <row r="56" spans="1:9" ht="18.75" x14ac:dyDescent="0.25">
      <c r="A56" s="216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26"/>
        <v>0</v>
      </c>
      <c r="H56" s="2"/>
      <c r="I56" s="2"/>
    </row>
    <row r="57" spans="1:9" ht="18.75" x14ac:dyDescent="0.25">
      <c r="A57" s="216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26"/>
        <v>0</v>
      </c>
      <c r="H57" s="2"/>
      <c r="I57" s="2"/>
    </row>
    <row r="58" spans="1:9" ht="18.75" x14ac:dyDescent="0.25">
      <c r="A58" s="216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26"/>
        <v>0</v>
      </c>
      <c r="H58" s="2"/>
      <c r="I58" s="2"/>
    </row>
    <row r="59" spans="1:9" ht="18.75" x14ac:dyDescent="0.25">
      <c r="A59" s="216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26"/>
        <v>0</v>
      </c>
      <c r="H59" s="2"/>
      <c r="I59" s="2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>E60+F60</f>
        <v>0</v>
      </c>
      <c r="E60" s="2"/>
      <c r="F60" s="2"/>
      <c r="G60" s="5">
        <f t="shared" si="26"/>
        <v>0</v>
      </c>
      <c r="H60" s="2"/>
      <c r="I60" s="2"/>
    </row>
    <row r="61" spans="1:9" ht="56.25" x14ac:dyDescent="0.25">
      <c r="A61" s="170" t="s">
        <v>346</v>
      </c>
      <c r="B61" s="171">
        <v>244</v>
      </c>
      <c r="C61" s="171">
        <v>228</v>
      </c>
      <c r="D61" s="5">
        <f t="shared" ref="D61" si="27">E61+F61</f>
        <v>0</v>
      </c>
      <c r="E61" s="2"/>
      <c r="F61" s="2"/>
      <c r="G61" s="5">
        <f t="shared" ref="G61" si="28">H61+I61</f>
        <v>0</v>
      </c>
      <c r="H61" s="2"/>
      <c r="I61" s="2"/>
    </row>
    <row r="62" spans="1:9" ht="37.5" x14ac:dyDescent="0.25">
      <c r="A62" s="115" t="s">
        <v>26</v>
      </c>
      <c r="B62" s="119" t="s">
        <v>5</v>
      </c>
      <c r="C62" s="119">
        <v>260</v>
      </c>
      <c r="D62" s="5">
        <f>E62+F62</f>
        <v>0</v>
      </c>
      <c r="E62" s="2">
        <f>E63+E64+E65+E68</f>
        <v>0</v>
      </c>
      <c r="F62" s="2">
        <f>F63+F64+F65+F68</f>
        <v>0</v>
      </c>
      <c r="G62" s="5">
        <f t="shared" si="26"/>
        <v>0</v>
      </c>
      <c r="H62" s="2">
        <f>H63+H64+H65+H68</f>
        <v>0</v>
      </c>
      <c r="I62" s="2">
        <f>I63+I64+I65+I68</f>
        <v>0</v>
      </c>
    </row>
    <row r="63" spans="1:9" ht="112.5" x14ac:dyDescent="0.25">
      <c r="A63" s="115" t="s">
        <v>27</v>
      </c>
      <c r="B63" s="119">
        <v>321</v>
      </c>
      <c r="C63" s="119">
        <v>264</v>
      </c>
      <c r="D63" s="5">
        <f>E63+F63</f>
        <v>0</v>
      </c>
      <c r="E63" s="2"/>
      <c r="F63" s="2"/>
      <c r="G63" s="5">
        <f t="shared" si="26"/>
        <v>0</v>
      </c>
      <c r="H63" s="2"/>
      <c r="I63" s="2"/>
    </row>
    <row r="64" spans="1:9" ht="168.75" x14ac:dyDescent="0.25">
      <c r="A64" s="193" t="s">
        <v>444</v>
      </c>
      <c r="B64" s="194">
        <v>119</v>
      </c>
      <c r="C64" s="194">
        <v>265</v>
      </c>
      <c r="D64" s="5">
        <f>E64+F64</f>
        <v>0</v>
      </c>
      <c r="E64" s="2"/>
      <c r="F64" s="2"/>
      <c r="G64" s="5">
        <f t="shared" si="26"/>
        <v>0</v>
      </c>
      <c r="H64" s="2"/>
      <c r="I64" s="2"/>
    </row>
    <row r="65" spans="1:9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0</v>
      </c>
      <c r="E65" s="2">
        <f t="shared" ref="E65" si="29">E66+E67</f>
        <v>0</v>
      </c>
      <c r="F65" s="2">
        <f t="shared" ref="F65" si="30">F66+F67</f>
        <v>0</v>
      </c>
      <c r="G65" s="5">
        <f t="shared" si="26"/>
        <v>0</v>
      </c>
      <c r="H65" s="2">
        <f t="shared" ref="H65" si="31">H66+H67</f>
        <v>0</v>
      </c>
      <c r="I65" s="2">
        <f t="shared" ref="I65" si="32">I66+I67</f>
        <v>0</v>
      </c>
    </row>
    <row r="66" spans="1:9" ht="18.75" x14ac:dyDescent="0.25">
      <c r="A66" s="216" t="s">
        <v>6</v>
      </c>
      <c r="B66" s="119">
        <v>111</v>
      </c>
      <c r="C66" s="119">
        <v>266</v>
      </c>
      <c r="D66" s="5">
        <f t="shared" si="0"/>
        <v>0</v>
      </c>
      <c r="E66" s="2"/>
      <c r="F66" s="2"/>
      <c r="G66" s="5">
        <f t="shared" si="26"/>
        <v>0</v>
      </c>
      <c r="H66" s="2"/>
      <c r="I66" s="2"/>
    </row>
    <row r="67" spans="1:9" ht="18.75" x14ac:dyDescent="0.25">
      <c r="A67" s="216"/>
      <c r="B67" s="119">
        <v>112</v>
      </c>
      <c r="C67" s="119">
        <v>266</v>
      </c>
      <c r="D67" s="5">
        <f t="shared" si="0"/>
        <v>0</v>
      </c>
      <c r="E67" s="2"/>
      <c r="F67" s="2"/>
      <c r="G67" s="5">
        <f t="shared" si="26"/>
        <v>0</v>
      </c>
      <c r="H67" s="2"/>
      <c r="I67" s="2"/>
    </row>
    <row r="68" spans="1:9" ht="75" x14ac:dyDescent="0.25">
      <c r="A68" s="115" t="s">
        <v>29</v>
      </c>
      <c r="B68" s="119">
        <v>112</v>
      </c>
      <c r="C68" s="119">
        <v>267</v>
      </c>
      <c r="D68" s="5">
        <f t="shared" si="0"/>
        <v>0</v>
      </c>
      <c r="E68" s="2"/>
      <c r="F68" s="2"/>
      <c r="G68" s="5">
        <f t="shared" si="26"/>
        <v>0</v>
      </c>
      <c r="H68" s="2"/>
      <c r="I68" s="2"/>
    </row>
    <row r="69" spans="1:9" ht="18.75" x14ac:dyDescent="0.25">
      <c r="A69" s="115" t="s">
        <v>30</v>
      </c>
      <c r="B69" s="119" t="s">
        <v>5</v>
      </c>
      <c r="C69" s="119">
        <v>290</v>
      </c>
      <c r="D69" s="5">
        <f t="shared" si="0"/>
        <v>0</v>
      </c>
      <c r="E69" s="2">
        <f>E71+E75+E76+E77+E78+E85</f>
        <v>0</v>
      </c>
      <c r="F69" s="2">
        <f>F71+F75+F76+F77+F78+F85</f>
        <v>0</v>
      </c>
      <c r="G69" s="5">
        <f t="shared" si="26"/>
        <v>0</v>
      </c>
      <c r="H69" s="2">
        <f>H71+H75+H76+H77+H78+H85</f>
        <v>0</v>
      </c>
      <c r="I69" s="2">
        <f>I71+I75+I76+I77+I78+I85</f>
        <v>0</v>
      </c>
    </row>
    <row r="70" spans="1:9" ht="18.75" x14ac:dyDescent="0.25">
      <c r="A70" s="115" t="s">
        <v>9</v>
      </c>
      <c r="B70" s="119"/>
      <c r="C70" s="119"/>
      <c r="D70" s="5">
        <f t="shared" si="0"/>
        <v>0</v>
      </c>
      <c r="E70" s="2"/>
      <c r="F70" s="2"/>
      <c r="G70" s="5">
        <f t="shared" si="26"/>
        <v>0</v>
      </c>
      <c r="H70" s="2"/>
      <c r="I70" s="2"/>
    </row>
    <row r="71" spans="1:9" ht="37.5" x14ac:dyDescent="0.25">
      <c r="A71" s="115" t="s">
        <v>31</v>
      </c>
      <c r="B71" s="119" t="s">
        <v>5</v>
      </c>
      <c r="C71" s="119">
        <v>291</v>
      </c>
      <c r="D71" s="5">
        <f t="shared" si="0"/>
        <v>0</v>
      </c>
      <c r="E71" s="2">
        <f t="shared" ref="E71" si="33">E72+E73+E74</f>
        <v>0</v>
      </c>
      <c r="F71" s="2">
        <f t="shared" ref="F71" si="34">F72+F73+F74</f>
        <v>0</v>
      </c>
      <c r="G71" s="5">
        <f t="shared" si="26"/>
        <v>0</v>
      </c>
      <c r="H71" s="2">
        <f t="shared" ref="H71" si="35">H72+H73+H74</f>
        <v>0</v>
      </c>
      <c r="I71" s="2">
        <f t="shared" ref="I71" si="36">I72+I73+I74</f>
        <v>0</v>
      </c>
    </row>
    <row r="72" spans="1:9" ht="18.75" x14ac:dyDescent="0.25">
      <c r="A72" s="216" t="s">
        <v>6</v>
      </c>
      <c r="B72" s="119">
        <v>851</v>
      </c>
      <c r="C72" s="119">
        <v>291</v>
      </c>
      <c r="D72" s="5">
        <f t="shared" si="0"/>
        <v>0</v>
      </c>
      <c r="E72" s="2"/>
      <c r="F72" s="2"/>
      <c r="G72" s="5">
        <f t="shared" si="26"/>
        <v>0</v>
      </c>
      <c r="H72" s="2"/>
      <c r="I72" s="2"/>
    </row>
    <row r="73" spans="1:9" ht="18.75" x14ac:dyDescent="0.25">
      <c r="A73" s="216"/>
      <c r="B73" s="119">
        <v>852</v>
      </c>
      <c r="C73" s="119">
        <v>291</v>
      </c>
      <c r="D73" s="5">
        <f t="shared" si="0"/>
        <v>0</v>
      </c>
      <c r="E73" s="2"/>
      <c r="F73" s="2"/>
      <c r="G73" s="5">
        <f t="shared" si="26"/>
        <v>0</v>
      </c>
      <c r="H73" s="2"/>
      <c r="I73" s="2"/>
    </row>
    <row r="74" spans="1:9" ht="18.75" x14ac:dyDescent="0.25">
      <c r="A74" s="216"/>
      <c r="B74" s="119">
        <v>853</v>
      </c>
      <c r="C74" s="119">
        <v>291</v>
      </c>
      <c r="D74" s="5">
        <f t="shared" si="0"/>
        <v>0</v>
      </c>
      <c r="E74" s="2"/>
      <c r="F74" s="2"/>
      <c r="G74" s="5">
        <f t="shared" si="26"/>
        <v>0</v>
      </c>
      <c r="H74" s="2"/>
      <c r="I74" s="2"/>
    </row>
    <row r="75" spans="1:9" ht="112.5" x14ac:dyDescent="0.25">
      <c r="A75" s="115" t="s">
        <v>32</v>
      </c>
      <c r="B75" s="119">
        <v>853</v>
      </c>
      <c r="C75" s="119">
        <v>292</v>
      </c>
      <c r="D75" s="5">
        <f t="shared" ref="D75:D107" si="37">E75+F75</f>
        <v>0</v>
      </c>
      <c r="E75" s="2"/>
      <c r="F75" s="2">
        <v>0</v>
      </c>
      <c r="G75" s="5">
        <f t="shared" si="26"/>
        <v>0</v>
      </c>
      <c r="H75" s="2"/>
      <c r="I75" s="2">
        <v>0</v>
      </c>
    </row>
    <row r="76" spans="1:9" ht="131.25" x14ac:dyDescent="0.25">
      <c r="A76" s="115" t="s">
        <v>33</v>
      </c>
      <c r="B76" s="119">
        <v>853</v>
      </c>
      <c r="C76" s="119">
        <v>293</v>
      </c>
      <c r="D76" s="5">
        <f t="shared" si="37"/>
        <v>0</v>
      </c>
      <c r="E76" s="2"/>
      <c r="F76" s="2">
        <v>0</v>
      </c>
      <c r="G76" s="5">
        <f t="shared" si="26"/>
        <v>0</v>
      </c>
      <c r="H76" s="2"/>
      <c r="I76" s="2">
        <v>0</v>
      </c>
    </row>
    <row r="77" spans="1:9" ht="56.25" x14ac:dyDescent="0.25">
      <c r="A77" s="115" t="s">
        <v>158</v>
      </c>
      <c r="B77" s="119">
        <v>853</v>
      </c>
      <c r="C77" s="119">
        <v>295</v>
      </c>
      <c r="D77" s="5">
        <f t="shared" si="37"/>
        <v>0</v>
      </c>
      <c r="E77" s="2"/>
      <c r="F77" s="2">
        <v>0</v>
      </c>
      <c r="G77" s="5">
        <f t="shared" si="26"/>
        <v>0</v>
      </c>
      <c r="H77" s="2"/>
      <c r="I77" s="2">
        <v>0</v>
      </c>
    </row>
    <row r="78" spans="1:9" ht="56.25" x14ac:dyDescent="0.25">
      <c r="A78" s="115" t="s">
        <v>34</v>
      </c>
      <c r="B78" s="119" t="s">
        <v>5</v>
      </c>
      <c r="C78" s="119">
        <v>296</v>
      </c>
      <c r="D78" s="5">
        <f t="shared" si="37"/>
        <v>0</v>
      </c>
      <c r="E78" s="2">
        <f t="shared" ref="E78" si="38">E79+E80+E81+E82+E84</f>
        <v>0</v>
      </c>
      <c r="F78" s="2">
        <f t="shared" ref="F78" si="39">F79+F80+F81+F82+F84</f>
        <v>0</v>
      </c>
      <c r="G78" s="5">
        <f t="shared" si="26"/>
        <v>0</v>
      </c>
      <c r="H78" s="2">
        <f t="shared" ref="H78" si="40">H79+H80+H81+H82+H84</f>
        <v>0</v>
      </c>
      <c r="I78" s="2">
        <f t="shared" ref="I78" si="41">I79+I80+I81+I82+I84</f>
        <v>0</v>
      </c>
    </row>
    <row r="79" spans="1:9" ht="18.75" x14ac:dyDescent="0.25">
      <c r="A79" s="216" t="s">
        <v>6</v>
      </c>
      <c r="B79" s="119">
        <v>244</v>
      </c>
      <c r="C79" s="119">
        <v>296</v>
      </c>
      <c r="D79" s="5">
        <f t="shared" si="37"/>
        <v>0</v>
      </c>
      <c r="E79" s="2"/>
      <c r="F79" s="2"/>
      <c r="G79" s="5">
        <f t="shared" si="26"/>
        <v>0</v>
      </c>
      <c r="H79" s="2"/>
      <c r="I79" s="2"/>
    </row>
    <row r="80" spans="1:9" ht="18.75" x14ac:dyDescent="0.25">
      <c r="A80" s="216"/>
      <c r="B80" s="119">
        <v>340</v>
      </c>
      <c r="C80" s="119">
        <v>296</v>
      </c>
      <c r="D80" s="5">
        <f t="shared" si="37"/>
        <v>0</v>
      </c>
      <c r="E80" s="2"/>
      <c r="F80" s="2"/>
      <c r="G80" s="5">
        <f t="shared" si="26"/>
        <v>0</v>
      </c>
      <c r="H80" s="2"/>
      <c r="I80" s="2"/>
    </row>
    <row r="81" spans="1:9" ht="18.75" x14ac:dyDescent="0.25">
      <c r="A81" s="216"/>
      <c r="B81" s="119">
        <v>350</v>
      </c>
      <c r="C81" s="119">
        <v>296</v>
      </c>
      <c r="D81" s="5">
        <f t="shared" si="37"/>
        <v>0</v>
      </c>
      <c r="E81" s="2"/>
      <c r="F81" s="2"/>
      <c r="G81" s="5">
        <f t="shared" si="26"/>
        <v>0</v>
      </c>
      <c r="H81" s="2"/>
      <c r="I81" s="2"/>
    </row>
    <row r="82" spans="1:9" ht="18.75" x14ac:dyDescent="0.25">
      <c r="A82" s="216"/>
      <c r="B82" s="119">
        <v>360</v>
      </c>
      <c r="C82" s="119">
        <v>296</v>
      </c>
      <c r="D82" s="5">
        <f t="shared" si="37"/>
        <v>0</v>
      </c>
      <c r="E82" s="2"/>
      <c r="F82" s="2"/>
      <c r="G82" s="5">
        <f t="shared" si="26"/>
        <v>0</v>
      </c>
      <c r="H82" s="2"/>
      <c r="I82" s="2"/>
    </row>
    <row r="83" spans="1:9" ht="18.75" x14ac:dyDescent="0.25">
      <c r="A83" s="216"/>
      <c r="B83" s="215">
        <v>831</v>
      </c>
      <c r="C83" s="215">
        <v>296</v>
      </c>
      <c r="D83" s="5">
        <f t="shared" ref="D83" si="42">E83+F83</f>
        <v>0</v>
      </c>
      <c r="E83" s="2"/>
      <c r="F83" s="2"/>
      <c r="G83" s="5">
        <f t="shared" ref="G83" si="43">H83+I83</f>
        <v>0</v>
      </c>
      <c r="H83" s="2"/>
      <c r="I83" s="2"/>
    </row>
    <row r="84" spans="1:9" ht="18.75" x14ac:dyDescent="0.25">
      <c r="A84" s="216"/>
      <c r="B84" s="119">
        <v>853</v>
      </c>
      <c r="C84" s="119">
        <v>296</v>
      </c>
      <c r="D84" s="5">
        <f t="shared" si="37"/>
        <v>0</v>
      </c>
      <c r="E84" s="2"/>
      <c r="F84" s="2"/>
      <c r="G84" s="5">
        <f t="shared" si="26"/>
        <v>0</v>
      </c>
      <c r="H84" s="2"/>
      <c r="I84" s="2"/>
    </row>
    <row r="85" spans="1:9" ht="59.45" customHeight="1" x14ac:dyDescent="0.25">
      <c r="A85" s="115" t="s">
        <v>35</v>
      </c>
      <c r="B85" s="119" t="s">
        <v>5</v>
      </c>
      <c r="C85" s="119">
        <v>297</v>
      </c>
      <c r="D85" s="5">
        <f>E85+D87+F85</f>
        <v>0</v>
      </c>
      <c r="E85" s="5">
        <f t="shared" ref="E85:I85" si="44">F85+E87+G85</f>
        <v>0</v>
      </c>
      <c r="F85" s="5">
        <f t="shared" si="44"/>
        <v>0</v>
      </c>
      <c r="G85" s="5">
        <f t="shared" si="44"/>
        <v>0</v>
      </c>
      <c r="H85" s="5">
        <f t="shared" si="44"/>
        <v>0</v>
      </c>
      <c r="I85" s="5">
        <f t="shared" si="44"/>
        <v>0</v>
      </c>
    </row>
    <row r="86" spans="1:9" ht="18.75" x14ac:dyDescent="0.25">
      <c r="A86" s="216" t="s">
        <v>6</v>
      </c>
      <c r="B86" s="119">
        <v>244</v>
      </c>
      <c r="C86" s="119">
        <v>297</v>
      </c>
      <c r="D86" s="5">
        <f t="shared" si="37"/>
        <v>0</v>
      </c>
      <c r="E86" s="2"/>
      <c r="F86" s="2"/>
      <c r="G86" s="5">
        <f t="shared" si="26"/>
        <v>0</v>
      </c>
      <c r="H86" s="2"/>
      <c r="I86" s="2"/>
    </row>
    <row r="87" spans="1:9" ht="18.75" x14ac:dyDescent="0.25">
      <c r="A87" s="216"/>
      <c r="B87" s="192">
        <v>831</v>
      </c>
      <c r="C87" s="192">
        <v>297</v>
      </c>
      <c r="D87" s="5">
        <f t="shared" si="37"/>
        <v>0</v>
      </c>
      <c r="E87" s="2"/>
      <c r="F87" s="2"/>
      <c r="G87" s="5">
        <f>H87+I87</f>
        <v>0</v>
      </c>
      <c r="H87" s="2"/>
      <c r="I87" s="2"/>
    </row>
    <row r="88" spans="1:9" ht="18.75" x14ac:dyDescent="0.25">
      <c r="A88" s="216"/>
      <c r="B88" s="119">
        <v>853</v>
      </c>
      <c r="C88" s="119">
        <v>297</v>
      </c>
      <c r="D88" s="5">
        <f t="shared" si="37"/>
        <v>0</v>
      </c>
      <c r="E88" s="2"/>
      <c r="F88" s="2"/>
      <c r="G88" s="5">
        <f t="shared" si="26"/>
        <v>0</v>
      </c>
      <c r="H88" s="2"/>
      <c r="I88" s="2"/>
    </row>
    <row r="89" spans="1:9" ht="56.25" x14ac:dyDescent="0.25">
      <c r="A89" s="115" t="s">
        <v>59</v>
      </c>
      <c r="B89" s="119" t="s">
        <v>5</v>
      </c>
      <c r="C89" s="119">
        <v>300</v>
      </c>
      <c r="D89" s="5">
        <f t="shared" si="37"/>
        <v>0</v>
      </c>
      <c r="E89" s="2">
        <f>E91+E93+E92</f>
        <v>0</v>
      </c>
      <c r="F89" s="2">
        <f>F91+F93+F92</f>
        <v>0</v>
      </c>
      <c r="G89" s="5">
        <f t="shared" si="26"/>
        <v>0</v>
      </c>
      <c r="H89" s="2">
        <f>H91+H93+H92</f>
        <v>0</v>
      </c>
      <c r="I89" s="2">
        <f>I91+I93+I92</f>
        <v>0</v>
      </c>
    </row>
    <row r="90" spans="1:9" ht="18.75" x14ac:dyDescent="0.25">
      <c r="A90" s="115" t="s">
        <v>9</v>
      </c>
      <c r="B90" s="119"/>
      <c r="C90" s="119"/>
      <c r="D90" s="5"/>
      <c r="E90" s="2"/>
      <c r="F90" s="2"/>
      <c r="G90" s="5"/>
      <c r="H90" s="2"/>
      <c r="I90" s="2"/>
    </row>
    <row r="91" spans="1:9" ht="56.25" x14ac:dyDescent="0.25">
      <c r="A91" s="115" t="s">
        <v>36</v>
      </c>
      <c r="B91" s="119">
        <v>244</v>
      </c>
      <c r="C91" s="119">
        <v>310</v>
      </c>
      <c r="D91" s="5">
        <f t="shared" si="37"/>
        <v>0</v>
      </c>
      <c r="E91" s="2"/>
      <c r="F91" s="2"/>
      <c r="G91" s="5">
        <f t="shared" ref="G91:G93" si="45">H91+I91</f>
        <v>0</v>
      </c>
      <c r="H91" s="2"/>
      <c r="I91" s="2"/>
    </row>
    <row r="92" spans="1:9" ht="75" x14ac:dyDescent="0.25">
      <c r="A92" s="115" t="s">
        <v>68</v>
      </c>
      <c r="B92" s="119">
        <v>244</v>
      </c>
      <c r="C92" s="119">
        <v>320</v>
      </c>
      <c r="D92" s="5">
        <f t="shared" si="37"/>
        <v>0</v>
      </c>
      <c r="E92" s="2"/>
      <c r="F92" s="2"/>
      <c r="G92" s="5">
        <f t="shared" si="45"/>
        <v>0</v>
      </c>
      <c r="H92" s="2"/>
      <c r="I92" s="2"/>
    </row>
    <row r="93" spans="1:9" ht="75" x14ac:dyDescent="0.25">
      <c r="A93" s="115" t="s">
        <v>60</v>
      </c>
      <c r="B93" s="119" t="s">
        <v>5</v>
      </c>
      <c r="C93" s="119">
        <v>340</v>
      </c>
      <c r="D93" s="5">
        <f t="shared" si="37"/>
        <v>0</v>
      </c>
      <c r="E93" s="2">
        <f>E95+E96+E97+E98+E99+E100+E101+E102</f>
        <v>0</v>
      </c>
      <c r="F93" s="2">
        <f>F95+F96+F97+F98+F99+F100+F101+F102</f>
        <v>0</v>
      </c>
      <c r="G93" s="5">
        <f t="shared" si="45"/>
        <v>0</v>
      </c>
      <c r="H93" s="2">
        <f>H95+H96+H97+H98+H99+H100+H101+H102</f>
        <v>0</v>
      </c>
      <c r="I93" s="2">
        <f>I95+I96+I97+I98+I99+I100+I101+I102</f>
        <v>0</v>
      </c>
    </row>
    <row r="94" spans="1:9" ht="18.75" x14ac:dyDescent="0.25">
      <c r="A94" s="115" t="s">
        <v>6</v>
      </c>
      <c r="B94" s="119"/>
      <c r="C94" s="119"/>
      <c r="D94" s="5"/>
      <c r="E94" s="2"/>
      <c r="F94" s="2"/>
      <c r="G94" s="5"/>
      <c r="H94" s="2"/>
      <c r="I94" s="2"/>
    </row>
    <row r="95" spans="1:9" ht="131.25" x14ac:dyDescent="0.25">
      <c r="A95" s="115" t="s">
        <v>37</v>
      </c>
      <c r="B95" s="119">
        <v>244</v>
      </c>
      <c r="C95" s="119">
        <v>341</v>
      </c>
      <c r="D95" s="5">
        <f t="shared" si="37"/>
        <v>0</v>
      </c>
      <c r="E95" s="2"/>
      <c r="F95" s="2"/>
      <c r="G95" s="5">
        <f t="shared" ref="G95:G103" si="46">H95+I95</f>
        <v>0</v>
      </c>
      <c r="H95" s="2"/>
      <c r="I95" s="2"/>
    </row>
    <row r="96" spans="1:9" ht="56.25" x14ac:dyDescent="0.25">
      <c r="A96" s="115" t="s">
        <v>38</v>
      </c>
      <c r="B96" s="119">
        <v>244</v>
      </c>
      <c r="C96" s="119">
        <v>342</v>
      </c>
      <c r="D96" s="5">
        <f t="shared" si="37"/>
        <v>0</v>
      </c>
      <c r="E96" s="2"/>
      <c r="F96" s="2"/>
      <c r="G96" s="5">
        <f t="shared" si="46"/>
        <v>0</v>
      </c>
      <c r="H96" s="2"/>
      <c r="I96" s="2"/>
    </row>
    <row r="97" spans="1:9" ht="75" x14ac:dyDescent="0.25">
      <c r="A97" s="115" t="s">
        <v>39</v>
      </c>
      <c r="B97" s="119">
        <v>244</v>
      </c>
      <c r="C97" s="119">
        <v>343</v>
      </c>
      <c r="D97" s="5">
        <f t="shared" si="37"/>
        <v>0</v>
      </c>
      <c r="E97" s="2"/>
      <c r="F97" s="2"/>
      <c r="G97" s="5">
        <f t="shared" si="46"/>
        <v>0</v>
      </c>
      <c r="H97" s="2"/>
      <c r="I97" s="2"/>
    </row>
    <row r="98" spans="1:9" ht="75" x14ac:dyDescent="0.25">
      <c r="A98" s="115" t="s">
        <v>40</v>
      </c>
      <c r="B98" s="119">
        <v>244</v>
      </c>
      <c r="C98" s="119">
        <v>344</v>
      </c>
      <c r="D98" s="5">
        <f t="shared" si="37"/>
        <v>0</v>
      </c>
      <c r="E98" s="2"/>
      <c r="F98" s="2"/>
      <c r="G98" s="5">
        <f t="shared" si="46"/>
        <v>0</v>
      </c>
      <c r="H98" s="2"/>
      <c r="I98" s="2"/>
    </row>
    <row r="99" spans="1:9" ht="56.25" x14ac:dyDescent="0.25">
      <c r="A99" s="115" t="s">
        <v>41</v>
      </c>
      <c r="B99" s="119">
        <v>244</v>
      </c>
      <c r="C99" s="119">
        <v>345</v>
      </c>
      <c r="D99" s="5">
        <f t="shared" si="37"/>
        <v>0</v>
      </c>
      <c r="E99" s="2"/>
      <c r="F99" s="2"/>
      <c r="G99" s="5">
        <f t="shared" si="46"/>
        <v>0</v>
      </c>
      <c r="H99" s="2"/>
      <c r="I99" s="2"/>
    </row>
    <row r="100" spans="1:9" ht="75" x14ac:dyDescent="0.25">
      <c r="A100" s="115" t="s">
        <v>42</v>
      </c>
      <c r="B100" s="119">
        <v>244</v>
      </c>
      <c r="C100" s="119">
        <v>346</v>
      </c>
      <c r="D100" s="5">
        <f t="shared" si="37"/>
        <v>0</v>
      </c>
      <c r="E100" s="2"/>
      <c r="F100" s="2"/>
      <c r="G100" s="5">
        <f t="shared" si="46"/>
        <v>0</v>
      </c>
      <c r="H100" s="2"/>
      <c r="I100" s="2"/>
    </row>
    <row r="101" spans="1:9" ht="112.5" x14ac:dyDescent="0.25">
      <c r="A101" s="170" t="s">
        <v>347</v>
      </c>
      <c r="B101" s="171">
        <v>244</v>
      </c>
      <c r="C101" s="171">
        <v>347</v>
      </c>
      <c r="D101" s="5">
        <f t="shared" ref="D101" si="47">E101+F101</f>
        <v>0</v>
      </c>
      <c r="E101" s="2"/>
      <c r="F101" s="2"/>
      <c r="G101" s="5">
        <f t="shared" ref="G101" si="48">H101+I101</f>
        <v>0</v>
      </c>
      <c r="H101" s="2"/>
      <c r="I101" s="2"/>
    </row>
    <row r="102" spans="1:9" ht="112.5" x14ac:dyDescent="0.25">
      <c r="A102" s="115" t="s">
        <v>43</v>
      </c>
      <c r="B102" s="119">
        <v>244</v>
      </c>
      <c r="C102" s="119">
        <v>349</v>
      </c>
      <c r="D102" s="5">
        <f t="shared" si="37"/>
        <v>0</v>
      </c>
      <c r="E102" s="2"/>
      <c r="F102" s="2"/>
      <c r="G102" s="5">
        <f t="shared" si="46"/>
        <v>0</v>
      </c>
      <c r="H102" s="2"/>
      <c r="I102" s="2"/>
    </row>
    <row r="103" spans="1:9" ht="56.25" x14ac:dyDescent="0.25">
      <c r="A103" s="115" t="s">
        <v>67</v>
      </c>
      <c r="B103" s="119" t="s">
        <v>5</v>
      </c>
      <c r="C103" s="119" t="s">
        <v>5</v>
      </c>
      <c r="D103" s="5">
        <f t="shared" si="37"/>
        <v>0</v>
      </c>
      <c r="E103" s="2">
        <f t="shared" ref="E103" si="49">E105+E106+E107</f>
        <v>0</v>
      </c>
      <c r="F103" s="2">
        <f t="shared" ref="F103" si="50">F105+F106+F107</f>
        <v>0</v>
      </c>
      <c r="G103" s="5">
        <f t="shared" si="46"/>
        <v>0</v>
      </c>
      <c r="H103" s="2">
        <f t="shared" ref="H103" si="51">H105+H106+H107</f>
        <v>0</v>
      </c>
      <c r="I103" s="2">
        <f t="shared" ref="I103" si="52">I105+I106+I107</f>
        <v>0</v>
      </c>
    </row>
    <row r="104" spans="1:9" ht="18.75" x14ac:dyDescent="0.25">
      <c r="A104" s="115" t="s">
        <v>6</v>
      </c>
      <c r="B104" s="119"/>
      <c r="C104" s="119"/>
      <c r="D104" s="5"/>
      <c r="E104" s="2"/>
      <c r="F104" s="2"/>
      <c r="G104" s="5"/>
      <c r="H104" s="2"/>
      <c r="I104" s="2"/>
    </row>
    <row r="105" spans="1:9" ht="18.75" x14ac:dyDescent="0.25">
      <c r="A105" s="115" t="s">
        <v>194</v>
      </c>
      <c r="B105" s="119">
        <v>180</v>
      </c>
      <c r="C105" s="119" t="s">
        <v>5</v>
      </c>
      <c r="D105" s="5">
        <f t="shared" si="37"/>
        <v>0</v>
      </c>
      <c r="E105" s="2"/>
      <c r="F105" s="2"/>
      <c r="G105" s="5">
        <f t="shared" ref="G105:G107" si="53">H105+I105</f>
        <v>0</v>
      </c>
      <c r="H105" s="2"/>
      <c r="I105" s="2"/>
    </row>
    <row r="106" spans="1:9" ht="56.25" x14ac:dyDescent="0.25">
      <c r="A106" s="115" t="s">
        <v>195</v>
      </c>
      <c r="B106" s="119">
        <v>180</v>
      </c>
      <c r="C106" s="119" t="s">
        <v>5</v>
      </c>
      <c r="D106" s="5">
        <f t="shared" si="37"/>
        <v>0</v>
      </c>
      <c r="E106" s="2"/>
      <c r="F106" s="2"/>
      <c r="G106" s="5">
        <f t="shared" si="53"/>
        <v>0</v>
      </c>
      <c r="H106" s="2"/>
      <c r="I106" s="2"/>
    </row>
    <row r="107" spans="1:9" ht="57" thickBot="1" x14ac:dyDescent="0.3">
      <c r="A107" s="32" t="s">
        <v>196</v>
      </c>
      <c r="B107" s="33">
        <v>180</v>
      </c>
      <c r="C107" s="33" t="s">
        <v>5</v>
      </c>
      <c r="D107" s="34">
        <f t="shared" si="37"/>
        <v>0</v>
      </c>
      <c r="E107" s="35"/>
      <c r="F107" s="35"/>
      <c r="G107" s="34">
        <f t="shared" si="53"/>
        <v>0</v>
      </c>
      <c r="H107" s="35"/>
      <c r="I107" s="35"/>
    </row>
    <row r="108" spans="1:9" ht="18.75" x14ac:dyDescent="0.3">
      <c r="A108" s="29"/>
      <c r="B108" s="10"/>
      <c r="C108" s="10"/>
      <c r="D108" s="10"/>
      <c r="E108" s="10"/>
      <c r="F108" s="10"/>
    </row>
    <row r="109" spans="1:9" ht="18.75" x14ac:dyDescent="0.3">
      <c r="A109" s="29"/>
      <c r="B109" s="10"/>
      <c r="C109" s="10"/>
      <c r="D109" s="10"/>
      <c r="E109" s="10"/>
      <c r="F109" s="10"/>
    </row>
    <row r="110" spans="1:9" ht="37.5" x14ac:dyDescent="0.3">
      <c r="A110" s="29" t="s">
        <v>52</v>
      </c>
      <c r="B110" s="219"/>
      <c r="C110" s="219"/>
      <c r="D110" s="10"/>
      <c r="E110" s="219"/>
      <c r="F110" s="219"/>
    </row>
    <row r="111" spans="1:9" ht="18.75" x14ac:dyDescent="0.3">
      <c r="A111" s="29"/>
      <c r="B111" s="218" t="s">
        <v>53</v>
      </c>
      <c r="C111" s="218"/>
      <c r="D111" s="10"/>
      <c r="E111" s="218" t="s">
        <v>54</v>
      </c>
      <c r="F111" s="218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55</v>
      </c>
      <c r="B113" s="219"/>
      <c r="C113" s="219"/>
      <c r="D113" s="10"/>
      <c r="E113" s="219"/>
      <c r="F113" s="219"/>
    </row>
    <row r="114" spans="1:16" ht="18.75" x14ac:dyDescent="0.3">
      <c r="A114" s="29"/>
      <c r="B114" s="218" t="s">
        <v>53</v>
      </c>
      <c r="C114" s="218"/>
      <c r="D114" s="10"/>
      <c r="E114" s="218" t="s">
        <v>54</v>
      </c>
      <c r="F114" s="218"/>
    </row>
    <row r="115" spans="1:16" ht="18.75" x14ac:dyDescent="0.3">
      <c r="A115" s="29"/>
      <c r="B115" s="116"/>
      <c r="C115" s="116"/>
      <c r="D115" s="10"/>
      <c r="E115" s="116"/>
      <c r="F115" s="116"/>
    </row>
    <row r="116" spans="1:16" ht="18.75" x14ac:dyDescent="0.3">
      <c r="A116" s="29" t="s">
        <v>56</v>
      </c>
      <c r="B116" s="219"/>
      <c r="C116" s="219"/>
      <c r="D116" s="10"/>
      <c r="E116" s="219"/>
      <c r="F116" s="219"/>
    </row>
    <row r="117" spans="1:16" ht="18.75" x14ac:dyDescent="0.3">
      <c r="A117" s="29"/>
      <c r="B117" s="218" t="s">
        <v>53</v>
      </c>
      <c r="C117" s="218"/>
      <c r="D117" s="10"/>
      <c r="E117" s="218" t="s">
        <v>54</v>
      </c>
      <c r="F117" s="218"/>
    </row>
    <row r="118" spans="1:16" ht="18.75" x14ac:dyDescent="0.3">
      <c r="A118" s="29" t="s">
        <v>57</v>
      </c>
      <c r="B118" s="10"/>
      <c r="C118" s="10"/>
      <c r="D118" s="10"/>
      <c r="E118" s="10"/>
      <c r="F118" s="10"/>
    </row>
    <row r="119" spans="1:16" ht="18.75" x14ac:dyDescent="0.3">
      <c r="A119" s="217" t="s">
        <v>44</v>
      </c>
      <c r="B119" s="217"/>
      <c r="C119" s="10"/>
      <c r="D119" s="10"/>
      <c r="E119" s="10"/>
      <c r="F119" s="10"/>
    </row>
    <row r="120" spans="1:16" ht="18.75" x14ac:dyDescent="0.25">
      <c r="A120" s="314" t="s">
        <v>192</v>
      </c>
      <c r="B120" s="314"/>
      <c r="C120" s="314"/>
      <c r="D120" s="314"/>
      <c r="E120" s="314"/>
      <c r="F120" s="314"/>
      <c r="G120" s="314"/>
      <c r="H120" s="314"/>
      <c r="I120" s="314"/>
      <c r="K120" s="313" t="s">
        <v>233</v>
      </c>
      <c r="L120" s="313"/>
      <c r="M120" s="313"/>
      <c r="N120" s="313" t="s">
        <v>234</v>
      </c>
      <c r="O120" s="313"/>
      <c r="P120" s="313"/>
    </row>
    <row r="121" spans="1:16" ht="45" x14ac:dyDescent="0.25">
      <c r="A121" s="54" t="s">
        <v>236</v>
      </c>
      <c r="B121" s="58" t="s">
        <v>5</v>
      </c>
      <c r="C121" s="58" t="s">
        <v>5</v>
      </c>
      <c r="D121" s="5">
        <f t="shared" ref="D121:D122" si="54">E121+F121</f>
        <v>0</v>
      </c>
      <c r="E121" s="2"/>
      <c r="F121" s="4"/>
      <c r="G121" s="5">
        <f t="shared" ref="G121:G122" si="55">H121+I121</f>
        <v>0</v>
      </c>
      <c r="H121" s="2"/>
      <c r="I121" s="4"/>
      <c r="J121" s="36"/>
      <c r="K121" s="71" t="s">
        <v>230</v>
      </c>
      <c r="L121" s="71" t="s">
        <v>231</v>
      </c>
      <c r="M121" s="71" t="s">
        <v>232</v>
      </c>
      <c r="N121" s="71" t="s">
        <v>230</v>
      </c>
      <c r="O121" s="71" t="s">
        <v>231</v>
      </c>
      <c r="P121" s="71" t="s">
        <v>232</v>
      </c>
    </row>
    <row r="122" spans="1:16" ht="18.75" x14ac:dyDescent="0.25">
      <c r="A122" s="54" t="s">
        <v>7</v>
      </c>
      <c r="B122" s="58" t="s">
        <v>5</v>
      </c>
      <c r="C122" s="58">
        <v>900</v>
      </c>
      <c r="D122" s="5">
        <f t="shared" si="54"/>
        <v>0</v>
      </c>
      <c r="E122" s="2">
        <f>E125+E154+E169+E198</f>
        <v>0</v>
      </c>
      <c r="F122" s="2">
        <f>F125+F154</f>
        <v>0</v>
      </c>
      <c r="G122" s="5">
        <f t="shared" si="55"/>
        <v>0</v>
      </c>
      <c r="H122" s="2">
        <f>H125+H154+H169+H198</f>
        <v>0</v>
      </c>
      <c r="I122" s="2">
        <f>I125+I154</f>
        <v>0</v>
      </c>
      <c r="J122" s="36"/>
      <c r="K122" s="72">
        <f>E31+E32+E33+E35+E41+E55+E56+E57+E63+E66+E67+E68+E72+E73+E74+E75+E76+E77+E80+E81+E82+E84+E88</f>
        <v>0</v>
      </c>
      <c r="L122" s="72">
        <f>K122+D122</f>
        <v>0</v>
      </c>
      <c r="M122" s="72">
        <f>L122-E25</f>
        <v>0</v>
      </c>
      <c r="N122" s="72">
        <f>H31+H32+H33+H35+H41+H55+H56+H57+H63+H66+H67+H68+H72+H73+H74+H75+H76+H77+H80+H81+H82+H84+H88</f>
        <v>0</v>
      </c>
      <c r="O122" s="72">
        <f>N122+G122</f>
        <v>0</v>
      </c>
      <c r="P122" s="72">
        <f>O122-H25</f>
        <v>0</v>
      </c>
    </row>
    <row r="123" spans="1:16" ht="18.75" x14ac:dyDescent="0.25">
      <c r="A123" s="54" t="s">
        <v>6</v>
      </c>
      <c r="B123" s="58"/>
      <c r="C123" s="58"/>
      <c r="D123" s="5"/>
      <c r="E123" s="2"/>
      <c r="F123" s="4"/>
      <c r="G123" s="5"/>
      <c r="H123" s="2"/>
      <c r="I123" s="4"/>
      <c r="J123" s="36"/>
      <c r="K123" s="36"/>
      <c r="L123" s="36"/>
    </row>
    <row r="124" spans="1:16" ht="17.45" customHeight="1" x14ac:dyDescent="0.25">
      <c r="A124" s="315" t="s">
        <v>200</v>
      </c>
      <c r="B124" s="316"/>
      <c r="C124" s="316"/>
      <c r="D124" s="316"/>
      <c r="E124" s="316"/>
      <c r="F124" s="316"/>
      <c r="G124" s="316"/>
      <c r="H124" s="316"/>
      <c r="I124" s="316"/>
      <c r="J124" s="76"/>
      <c r="K124" s="76"/>
      <c r="L124" s="76"/>
    </row>
    <row r="125" spans="1:16" ht="18.75" x14ac:dyDescent="0.25">
      <c r="A125" s="54" t="s">
        <v>8</v>
      </c>
      <c r="B125" s="58" t="s">
        <v>5</v>
      </c>
      <c r="C125" s="58">
        <v>200</v>
      </c>
      <c r="D125" s="5">
        <f t="shared" ref="D125:D158" si="56">E125+F125</f>
        <v>0</v>
      </c>
      <c r="E125" s="2">
        <f>E127+E130+E150</f>
        <v>0</v>
      </c>
      <c r="F125" s="2">
        <f>F127+F130+F150</f>
        <v>0</v>
      </c>
      <c r="G125" s="5">
        <f t="shared" ref="G125" si="57">H125+I125</f>
        <v>0</v>
      </c>
      <c r="H125" s="2">
        <f>H127+H130+H150</f>
        <v>0</v>
      </c>
      <c r="I125" s="2">
        <f>I127+I130+I150</f>
        <v>0</v>
      </c>
      <c r="J125" s="36"/>
      <c r="K125" s="36"/>
      <c r="L125" s="36"/>
    </row>
    <row r="126" spans="1:16" ht="18.75" x14ac:dyDescent="0.25">
      <c r="A126" s="54" t="s">
        <v>9</v>
      </c>
      <c r="B126" s="58"/>
      <c r="C126" s="58"/>
      <c r="D126" s="5"/>
      <c r="E126" s="2"/>
      <c r="F126" s="2"/>
      <c r="G126" s="5"/>
      <c r="H126" s="2"/>
      <c r="I126" s="2"/>
      <c r="J126" s="36"/>
      <c r="K126" s="36"/>
      <c r="L126" s="36"/>
    </row>
    <row r="127" spans="1:16" ht="75" x14ac:dyDescent="0.25">
      <c r="A127" s="54" t="s">
        <v>10</v>
      </c>
      <c r="B127" s="58" t="s">
        <v>5</v>
      </c>
      <c r="C127" s="58">
        <v>210</v>
      </c>
      <c r="D127" s="5">
        <f t="shared" si="56"/>
        <v>0</v>
      </c>
      <c r="E127" s="2">
        <f>E129</f>
        <v>0</v>
      </c>
      <c r="F127" s="2">
        <f>F129</f>
        <v>0</v>
      </c>
      <c r="G127" s="5">
        <f t="shared" ref="G127" si="58">H127+I127</f>
        <v>0</v>
      </c>
      <c r="H127" s="2">
        <f>H129</f>
        <v>0</v>
      </c>
      <c r="I127" s="2">
        <f>I129</f>
        <v>0</v>
      </c>
      <c r="J127" s="36"/>
      <c r="K127" s="36"/>
      <c r="L127" s="36"/>
    </row>
    <row r="128" spans="1:16" ht="18.75" x14ac:dyDescent="0.25">
      <c r="A128" s="54" t="s">
        <v>9</v>
      </c>
      <c r="B128" s="58"/>
      <c r="C128" s="58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93.75" x14ac:dyDescent="0.25">
      <c r="A129" s="54" t="s">
        <v>201</v>
      </c>
      <c r="B129" s="58">
        <v>244</v>
      </c>
      <c r="C129" s="58">
        <v>214</v>
      </c>
      <c r="D129" s="5">
        <f>E129+F129</f>
        <v>0</v>
      </c>
      <c r="E129" s="2"/>
      <c r="F129" s="2"/>
      <c r="G129" s="5">
        <f>H129+I129</f>
        <v>0</v>
      </c>
      <c r="H129" s="2"/>
      <c r="I129" s="2"/>
      <c r="J129" s="36"/>
      <c r="K129" s="36"/>
      <c r="L129" s="36"/>
    </row>
    <row r="130" spans="1:12" ht="37.5" x14ac:dyDescent="0.25">
      <c r="A130" s="54" t="s">
        <v>14</v>
      </c>
      <c r="B130" s="58" t="s">
        <v>5</v>
      </c>
      <c r="C130" s="58">
        <v>220</v>
      </c>
      <c r="D130" s="5">
        <f t="shared" si="56"/>
        <v>0</v>
      </c>
      <c r="E130" s="2">
        <f>E132+E133+E134+E141+E142+E145+E148+E149</f>
        <v>0</v>
      </c>
      <c r="F130" s="2">
        <f>F132+F133+F134+F141+F142+F145+F148+F149</f>
        <v>0</v>
      </c>
      <c r="G130" s="5">
        <f t="shared" ref="G130" si="59">H130+I130</f>
        <v>0</v>
      </c>
      <c r="H130" s="2">
        <f>H132+H133+H134+H141+H142+H145+H148+H149</f>
        <v>0</v>
      </c>
      <c r="I130" s="2">
        <f>I132+I133+I134+I141+I142+I145+I148+I149</f>
        <v>0</v>
      </c>
      <c r="J130" s="36"/>
      <c r="K130" s="36"/>
      <c r="L130" s="36"/>
    </row>
    <row r="131" spans="1:12" ht="18.75" x14ac:dyDescent="0.25">
      <c r="A131" s="54" t="s">
        <v>9</v>
      </c>
      <c r="B131" s="58"/>
      <c r="C131" s="58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18.75" x14ac:dyDescent="0.25">
      <c r="A132" s="54" t="s">
        <v>15</v>
      </c>
      <c r="B132" s="58">
        <v>244</v>
      </c>
      <c r="C132" s="58">
        <v>221</v>
      </c>
      <c r="D132" s="5">
        <f t="shared" si="56"/>
        <v>0</v>
      </c>
      <c r="E132" s="2"/>
      <c r="F132" s="2"/>
      <c r="G132" s="5">
        <f t="shared" ref="G132:G134" si="60">H132+I132</f>
        <v>0</v>
      </c>
      <c r="H132" s="2"/>
      <c r="I132" s="2"/>
      <c r="J132" s="36"/>
      <c r="K132" s="36"/>
      <c r="L132" s="36"/>
    </row>
    <row r="133" spans="1:12" ht="37.5" x14ac:dyDescent="0.25">
      <c r="A133" s="54" t="s">
        <v>16</v>
      </c>
      <c r="B133" s="58">
        <v>244</v>
      </c>
      <c r="C133" s="58">
        <v>222</v>
      </c>
      <c r="D133" s="5">
        <f t="shared" si="56"/>
        <v>0</v>
      </c>
      <c r="E133" s="2"/>
      <c r="F133" s="2"/>
      <c r="G133" s="5">
        <f t="shared" si="60"/>
        <v>0</v>
      </c>
      <c r="H133" s="2"/>
      <c r="I133" s="2"/>
      <c r="J133" s="36"/>
      <c r="K133" s="36"/>
      <c r="L133" s="36"/>
    </row>
    <row r="134" spans="1:12" ht="37.5" x14ac:dyDescent="0.25">
      <c r="A134" s="54" t="s">
        <v>17</v>
      </c>
      <c r="B134" s="58" t="s">
        <v>5</v>
      </c>
      <c r="C134" s="58">
        <v>223</v>
      </c>
      <c r="D134" s="5">
        <f t="shared" si="56"/>
        <v>0</v>
      </c>
      <c r="E134" s="2">
        <f t="shared" ref="E134:F134" si="61">E136+E137+E138+E139+E140</f>
        <v>0</v>
      </c>
      <c r="F134" s="2">
        <f t="shared" si="61"/>
        <v>0</v>
      </c>
      <c r="G134" s="5">
        <f t="shared" si="60"/>
        <v>0</v>
      </c>
      <c r="H134" s="2">
        <f t="shared" ref="H134:I134" si="62">H136+H137+H138+H139+H140</f>
        <v>0</v>
      </c>
      <c r="I134" s="2">
        <f t="shared" si="62"/>
        <v>0</v>
      </c>
      <c r="J134" s="36"/>
      <c r="K134" s="36"/>
      <c r="L134" s="36"/>
    </row>
    <row r="135" spans="1:12" ht="18.75" x14ac:dyDescent="0.25">
      <c r="A135" s="54" t="s">
        <v>6</v>
      </c>
      <c r="B135" s="58"/>
      <c r="C135" s="58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56.25" x14ac:dyDescent="0.25">
      <c r="A136" s="54" t="s">
        <v>18</v>
      </c>
      <c r="B136" s="58">
        <v>244</v>
      </c>
      <c r="C136" s="58">
        <v>223</v>
      </c>
      <c r="D136" s="5">
        <f t="shared" si="56"/>
        <v>0</v>
      </c>
      <c r="E136" s="2"/>
      <c r="F136" s="2"/>
      <c r="G136" s="5">
        <f t="shared" ref="G136:G141" si="63">H136+I136</f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19</v>
      </c>
      <c r="B137" s="58">
        <v>244</v>
      </c>
      <c r="C137" s="58">
        <v>223</v>
      </c>
      <c r="D137" s="5">
        <f t="shared" si="56"/>
        <v>0</v>
      </c>
      <c r="E137" s="2"/>
      <c r="F137" s="2"/>
      <c r="G137" s="5">
        <f t="shared" si="63"/>
        <v>0</v>
      </c>
      <c r="H137" s="2"/>
      <c r="I137" s="2"/>
      <c r="J137" s="36"/>
      <c r="K137" s="36"/>
      <c r="L137" s="36"/>
    </row>
    <row r="138" spans="1:12" ht="75" x14ac:dyDescent="0.25">
      <c r="A138" s="54" t="s">
        <v>20</v>
      </c>
      <c r="B138" s="58">
        <v>244</v>
      </c>
      <c r="C138" s="58">
        <v>223</v>
      </c>
      <c r="D138" s="5">
        <f t="shared" si="56"/>
        <v>0</v>
      </c>
      <c r="E138" s="2"/>
      <c r="F138" s="2"/>
      <c r="G138" s="5">
        <f t="shared" si="63"/>
        <v>0</v>
      </c>
      <c r="H138" s="2"/>
      <c r="I138" s="2"/>
      <c r="J138" s="36"/>
      <c r="K138" s="36"/>
      <c r="L138" s="36"/>
    </row>
    <row r="139" spans="1:12" ht="75" x14ac:dyDescent="0.25">
      <c r="A139" s="54" t="s">
        <v>21</v>
      </c>
      <c r="B139" s="58">
        <v>244</v>
      </c>
      <c r="C139" s="58">
        <v>223</v>
      </c>
      <c r="D139" s="5">
        <f t="shared" si="56"/>
        <v>0</v>
      </c>
      <c r="E139" s="2"/>
      <c r="F139" s="2"/>
      <c r="G139" s="5">
        <f t="shared" si="63"/>
        <v>0</v>
      </c>
      <c r="H139" s="2"/>
      <c r="I139" s="2"/>
      <c r="J139" s="36"/>
      <c r="K139" s="36"/>
      <c r="L139" s="36"/>
    </row>
    <row r="140" spans="1:12" ht="56.25" x14ac:dyDescent="0.25">
      <c r="A140" s="54" t="s">
        <v>22</v>
      </c>
      <c r="B140" s="58">
        <v>244</v>
      </c>
      <c r="C140" s="58">
        <v>223</v>
      </c>
      <c r="D140" s="5">
        <f t="shared" si="56"/>
        <v>0</v>
      </c>
      <c r="E140" s="2"/>
      <c r="F140" s="2"/>
      <c r="G140" s="5">
        <f t="shared" si="63"/>
        <v>0</v>
      </c>
      <c r="H140" s="2"/>
      <c r="I140" s="2"/>
      <c r="J140" s="36"/>
      <c r="K140" s="36"/>
      <c r="L140" s="36"/>
    </row>
    <row r="141" spans="1:12" ht="168.75" x14ac:dyDescent="0.25">
      <c r="A141" s="54" t="s">
        <v>23</v>
      </c>
      <c r="B141" s="58">
        <v>244</v>
      </c>
      <c r="C141" s="58">
        <v>224</v>
      </c>
      <c r="D141" s="5">
        <f t="shared" si="56"/>
        <v>0</v>
      </c>
      <c r="E141" s="2"/>
      <c r="F141" s="2"/>
      <c r="G141" s="5">
        <f t="shared" si="63"/>
        <v>0</v>
      </c>
      <c r="H141" s="2"/>
      <c r="I141" s="2"/>
      <c r="J141" s="36"/>
      <c r="K141" s="36"/>
      <c r="L141" s="36"/>
    </row>
    <row r="142" spans="1:12" ht="56.25" x14ac:dyDescent="0.25">
      <c r="A142" s="54" t="s">
        <v>24</v>
      </c>
      <c r="B142" s="58" t="s">
        <v>5</v>
      </c>
      <c r="C142" s="58">
        <v>225</v>
      </c>
      <c r="D142" s="2">
        <f t="shared" ref="D142:G142" si="64">D143+D144</f>
        <v>0</v>
      </c>
      <c r="E142" s="2">
        <f>E143+E144</f>
        <v>0</v>
      </c>
      <c r="F142" s="2">
        <f t="shared" si="64"/>
        <v>0</v>
      </c>
      <c r="G142" s="2">
        <f t="shared" si="64"/>
        <v>0</v>
      </c>
      <c r="H142" s="2">
        <f>H143+H144</f>
        <v>0</v>
      </c>
      <c r="I142" s="2">
        <f t="shared" ref="I142" si="65">I143+I144</f>
        <v>0</v>
      </c>
      <c r="J142" s="36"/>
      <c r="K142" s="36"/>
      <c r="L142" s="36"/>
    </row>
    <row r="143" spans="1:12" ht="18.75" x14ac:dyDescent="0.25">
      <c r="A143" s="216" t="s">
        <v>6</v>
      </c>
      <c r="B143" s="58">
        <v>243</v>
      </c>
      <c r="C143" s="58">
        <v>225</v>
      </c>
      <c r="D143" s="5">
        <f t="shared" si="56"/>
        <v>0</v>
      </c>
      <c r="E143" s="2"/>
      <c r="F143" s="2"/>
      <c r="G143" s="5">
        <f t="shared" ref="G143:G154" si="66">H143+I143</f>
        <v>0</v>
      </c>
      <c r="H143" s="2"/>
      <c r="I143" s="2"/>
      <c r="J143" s="36"/>
      <c r="K143" s="36"/>
      <c r="L143" s="36"/>
    </row>
    <row r="144" spans="1:12" ht="18.75" x14ac:dyDescent="0.25">
      <c r="A144" s="216"/>
      <c r="B144" s="58">
        <v>244</v>
      </c>
      <c r="C144" s="58">
        <v>225</v>
      </c>
      <c r="D144" s="5">
        <f t="shared" si="56"/>
        <v>0</v>
      </c>
      <c r="E144" s="2"/>
      <c r="F144" s="2"/>
      <c r="G144" s="5">
        <f t="shared" si="66"/>
        <v>0</v>
      </c>
      <c r="H144" s="2"/>
      <c r="I144" s="2"/>
      <c r="J144" s="36"/>
      <c r="K144" s="36"/>
      <c r="L144" s="36"/>
    </row>
    <row r="145" spans="1:12" ht="37.5" x14ac:dyDescent="0.25">
      <c r="A145" s="54" t="s">
        <v>58</v>
      </c>
      <c r="B145" s="58" t="s">
        <v>5</v>
      </c>
      <c r="C145" s="58">
        <v>226</v>
      </c>
      <c r="D145" s="5">
        <f t="shared" si="56"/>
        <v>0</v>
      </c>
      <c r="E145" s="2">
        <f>E146+E147</f>
        <v>0</v>
      </c>
      <c r="F145" s="2">
        <f>F146+F147</f>
        <v>0</v>
      </c>
      <c r="G145" s="5">
        <f t="shared" si="66"/>
        <v>0</v>
      </c>
      <c r="H145" s="2">
        <f>H146+H147</f>
        <v>0</v>
      </c>
      <c r="I145" s="2">
        <f>I146+I147</f>
        <v>0</v>
      </c>
      <c r="J145" s="36"/>
      <c r="K145" s="36"/>
      <c r="L145" s="36"/>
    </row>
    <row r="146" spans="1:12" ht="18.75" x14ac:dyDescent="0.25">
      <c r="A146" s="216" t="s">
        <v>6</v>
      </c>
      <c r="B146" s="58">
        <v>243</v>
      </c>
      <c r="C146" s="58">
        <v>226</v>
      </c>
      <c r="D146" s="5">
        <f t="shared" si="56"/>
        <v>0</v>
      </c>
      <c r="E146" s="2"/>
      <c r="F146" s="2"/>
      <c r="G146" s="5">
        <f t="shared" si="66"/>
        <v>0</v>
      </c>
      <c r="H146" s="2"/>
      <c r="I146" s="2"/>
      <c r="J146" s="36"/>
      <c r="K146" s="36"/>
      <c r="L146" s="36"/>
    </row>
    <row r="147" spans="1:12" ht="18.75" x14ac:dyDescent="0.25">
      <c r="A147" s="216"/>
      <c r="B147" s="58">
        <v>244</v>
      </c>
      <c r="C147" s="58">
        <v>226</v>
      </c>
      <c r="D147" s="5">
        <f t="shared" si="56"/>
        <v>0</v>
      </c>
      <c r="E147" s="2"/>
      <c r="F147" s="2"/>
      <c r="G147" s="5">
        <f t="shared" si="66"/>
        <v>0</v>
      </c>
      <c r="H147" s="2"/>
      <c r="I147" s="2"/>
      <c r="J147" s="36"/>
      <c r="K147" s="36"/>
      <c r="L147" s="36"/>
    </row>
    <row r="148" spans="1:12" ht="18.75" x14ac:dyDescent="0.25">
      <c r="A148" s="54" t="s">
        <v>25</v>
      </c>
      <c r="B148" s="58">
        <v>244</v>
      </c>
      <c r="C148" s="58">
        <v>227</v>
      </c>
      <c r="D148" s="5">
        <f>E148+F148</f>
        <v>0</v>
      </c>
      <c r="E148" s="2"/>
      <c r="F148" s="2"/>
      <c r="G148" s="5">
        <f t="shared" si="66"/>
        <v>0</v>
      </c>
      <c r="H148" s="2"/>
      <c r="I148" s="2"/>
      <c r="J148" s="36"/>
      <c r="K148" s="36"/>
      <c r="L148" s="36"/>
    </row>
    <row r="149" spans="1:12" ht="56.25" x14ac:dyDescent="0.25">
      <c r="A149" s="170" t="s">
        <v>346</v>
      </c>
      <c r="B149" s="171">
        <v>244</v>
      </c>
      <c r="C149" s="171">
        <v>228</v>
      </c>
      <c r="D149" s="5">
        <f>E149+F149</f>
        <v>0</v>
      </c>
      <c r="E149" s="2"/>
      <c r="F149" s="2"/>
      <c r="G149" s="5">
        <f t="shared" ref="G149" si="67">H149+I149</f>
        <v>0</v>
      </c>
      <c r="H149" s="2"/>
      <c r="I149" s="2"/>
      <c r="J149" s="36"/>
      <c r="K149" s="36"/>
      <c r="L149" s="36"/>
    </row>
    <row r="150" spans="1:12" ht="18.75" x14ac:dyDescent="0.25">
      <c r="A150" s="54" t="s">
        <v>30</v>
      </c>
      <c r="B150" s="58" t="s">
        <v>5</v>
      </c>
      <c r="C150" s="58">
        <v>290</v>
      </c>
      <c r="D150" s="5">
        <f t="shared" si="56"/>
        <v>0</v>
      </c>
      <c r="E150" s="2">
        <f>E152+E153</f>
        <v>0</v>
      </c>
      <c r="F150" s="2">
        <f>F152+F153</f>
        <v>0</v>
      </c>
      <c r="G150" s="5">
        <f t="shared" si="66"/>
        <v>0</v>
      </c>
      <c r="H150" s="2">
        <f>H152+H153</f>
        <v>0</v>
      </c>
      <c r="I150" s="2">
        <f>I152+I153</f>
        <v>0</v>
      </c>
      <c r="J150" s="36"/>
      <c r="K150" s="36"/>
      <c r="L150" s="36"/>
    </row>
    <row r="151" spans="1:12" ht="18.75" x14ac:dyDescent="0.25">
      <c r="A151" s="54" t="s">
        <v>9</v>
      </c>
      <c r="B151" s="58"/>
      <c r="C151" s="58"/>
      <c r="D151" s="5">
        <f t="shared" si="56"/>
        <v>0</v>
      </c>
      <c r="E151" s="2"/>
      <c r="F151" s="2"/>
      <c r="G151" s="5">
        <f t="shared" si="66"/>
        <v>0</v>
      </c>
      <c r="H151" s="2"/>
      <c r="I151" s="2"/>
      <c r="J151" s="36"/>
      <c r="K151" s="36"/>
      <c r="L151" s="36"/>
    </row>
    <row r="152" spans="1:12" ht="56.25" x14ac:dyDescent="0.25">
      <c r="A152" s="54" t="s">
        <v>34</v>
      </c>
      <c r="B152" s="58">
        <v>244</v>
      </c>
      <c r="C152" s="58">
        <v>296</v>
      </c>
      <c r="D152" s="5">
        <f t="shared" si="56"/>
        <v>0</v>
      </c>
      <c r="E152" s="2"/>
      <c r="F152" s="2"/>
      <c r="G152" s="5">
        <f t="shared" si="66"/>
        <v>0</v>
      </c>
      <c r="H152" s="2"/>
      <c r="I152" s="2"/>
      <c r="J152" s="36"/>
      <c r="K152" s="36"/>
      <c r="L152" s="36"/>
    </row>
    <row r="153" spans="1:12" ht="56.25" x14ac:dyDescent="0.25">
      <c r="A153" s="54" t="s">
        <v>35</v>
      </c>
      <c r="B153" s="58">
        <v>244</v>
      </c>
      <c r="C153" s="58">
        <v>297</v>
      </c>
      <c r="D153" s="5">
        <f t="shared" si="56"/>
        <v>0</v>
      </c>
      <c r="E153" s="2"/>
      <c r="F153" s="2"/>
      <c r="G153" s="5">
        <f t="shared" si="66"/>
        <v>0</v>
      </c>
      <c r="H153" s="2"/>
      <c r="I153" s="2"/>
      <c r="J153" s="36"/>
      <c r="K153" s="36"/>
      <c r="L153" s="36"/>
    </row>
    <row r="154" spans="1:12" ht="56.25" x14ac:dyDescent="0.25">
      <c r="A154" s="54" t="s">
        <v>59</v>
      </c>
      <c r="B154" s="58" t="s">
        <v>5</v>
      </c>
      <c r="C154" s="58">
        <v>300</v>
      </c>
      <c r="D154" s="5">
        <f t="shared" si="56"/>
        <v>0</v>
      </c>
      <c r="E154" s="2">
        <f>E156+E158+E157</f>
        <v>0</v>
      </c>
      <c r="F154" s="2">
        <f>F156+F158+F157</f>
        <v>0</v>
      </c>
      <c r="G154" s="5">
        <f t="shared" si="66"/>
        <v>0</v>
      </c>
      <c r="H154" s="2">
        <f>H156+H158+H157</f>
        <v>0</v>
      </c>
      <c r="I154" s="2">
        <f>I156+I158+I157</f>
        <v>0</v>
      </c>
      <c r="J154" s="36"/>
      <c r="K154" s="36"/>
      <c r="L154" s="36"/>
    </row>
    <row r="155" spans="1:12" ht="18.75" x14ac:dyDescent="0.25">
      <c r="A155" s="54" t="s">
        <v>9</v>
      </c>
      <c r="B155" s="58"/>
      <c r="C155" s="58"/>
      <c r="D155" s="5"/>
      <c r="E155" s="2"/>
      <c r="F155" s="2"/>
      <c r="G155" s="5"/>
      <c r="H155" s="2"/>
      <c r="I155" s="2"/>
      <c r="J155" s="36"/>
      <c r="K155" s="36"/>
      <c r="L155" s="36"/>
    </row>
    <row r="156" spans="1:12" ht="56.25" x14ac:dyDescent="0.25">
      <c r="A156" s="54" t="s">
        <v>36</v>
      </c>
      <c r="B156" s="58">
        <v>244</v>
      </c>
      <c r="C156" s="58">
        <v>310</v>
      </c>
      <c r="D156" s="5">
        <f t="shared" si="56"/>
        <v>0</v>
      </c>
      <c r="E156" s="2"/>
      <c r="F156" s="2"/>
      <c r="G156" s="5">
        <f t="shared" ref="G156:G158" si="68">H156+I156</f>
        <v>0</v>
      </c>
      <c r="H156" s="2"/>
      <c r="I156" s="2"/>
      <c r="J156" s="36"/>
      <c r="K156" s="36"/>
      <c r="L156" s="36"/>
    </row>
    <row r="157" spans="1:12" ht="75" x14ac:dyDescent="0.25">
      <c r="A157" s="54" t="s">
        <v>68</v>
      </c>
      <c r="B157" s="58">
        <v>244</v>
      </c>
      <c r="C157" s="58">
        <v>320</v>
      </c>
      <c r="D157" s="5">
        <f t="shared" si="56"/>
        <v>0</v>
      </c>
      <c r="E157" s="2"/>
      <c r="F157" s="2"/>
      <c r="G157" s="5">
        <f t="shared" si="68"/>
        <v>0</v>
      </c>
      <c r="H157" s="2"/>
      <c r="I157" s="2"/>
      <c r="J157" s="36"/>
      <c r="K157" s="36"/>
      <c r="L157" s="36"/>
    </row>
    <row r="158" spans="1:12" ht="75" x14ac:dyDescent="0.25">
      <c r="A158" s="54" t="s">
        <v>60</v>
      </c>
      <c r="B158" s="58" t="s">
        <v>5</v>
      </c>
      <c r="C158" s="58">
        <v>340</v>
      </c>
      <c r="D158" s="5">
        <f t="shared" si="56"/>
        <v>0</v>
      </c>
      <c r="E158" s="2">
        <f>E160+E161+E162+E163+E164+E165+E166+E167</f>
        <v>0</v>
      </c>
      <c r="F158" s="2">
        <f>F160+F161+F162+F163+F164+F165+F166+F167</f>
        <v>0</v>
      </c>
      <c r="G158" s="5">
        <f t="shared" si="68"/>
        <v>0</v>
      </c>
      <c r="H158" s="2">
        <f>H160+H161+H162+H163+H164+H166+H165+H167</f>
        <v>0</v>
      </c>
      <c r="I158" s="2">
        <f>I160+I161+I162+I163+I164+I166+I165+I167</f>
        <v>0</v>
      </c>
      <c r="J158" s="36"/>
      <c r="K158" s="36"/>
      <c r="L158" s="36"/>
    </row>
    <row r="159" spans="1:12" ht="18.75" x14ac:dyDescent="0.25">
      <c r="A159" s="54" t="s">
        <v>6</v>
      </c>
      <c r="B159" s="58"/>
      <c r="C159" s="58"/>
      <c r="D159" s="5"/>
      <c r="E159" s="2"/>
      <c r="F159" s="2"/>
      <c r="G159" s="5"/>
      <c r="H159" s="2"/>
      <c r="I159" s="2"/>
      <c r="J159" s="36"/>
      <c r="K159" s="36"/>
      <c r="L159" s="36"/>
    </row>
    <row r="160" spans="1:12" ht="131.25" x14ac:dyDescent="0.25">
      <c r="A160" s="54" t="s">
        <v>37</v>
      </c>
      <c r="B160" s="58">
        <v>244</v>
      </c>
      <c r="C160" s="58">
        <v>341</v>
      </c>
      <c r="D160" s="5">
        <f t="shared" ref="D160:D167" si="69">E160+F160</f>
        <v>0</v>
      </c>
      <c r="E160" s="2"/>
      <c r="F160" s="2"/>
      <c r="G160" s="5">
        <f t="shared" ref="G160:G167" si="70">H160+I160</f>
        <v>0</v>
      </c>
      <c r="H160" s="2"/>
      <c r="I160" s="2"/>
      <c r="J160" s="36"/>
      <c r="K160" s="36"/>
      <c r="L160" s="36"/>
    </row>
    <row r="161" spans="1:12" ht="56.25" x14ac:dyDescent="0.25">
      <c r="A161" s="54" t="s">
        <v>38</v>
      </c>
      <c r="B161" s="58">
        <v>244</v>
      </c>
      <c r="C161" s="58">
        <v>342</v>
      </c>
      <c r="D161" s="5">
        <f t="shared" si="69"/>
        <v>0</v>
      </c>
      <c r="E161" s="2"/>
      <c r="F161" s="2"/>
      <c r="G161" s="5">
        <f t="shared" si="70"/>
        <v>0</v>
      </c>
      <c r="H161" s="2"/>
      <c r="I161" s="2"/>
      <c r="J161" s="36"/>
      <c r="K161" s="36"/>
      <c r="L161" s="36"/>
    </row>
    <row r="162" spans="1:12" ht="75" x14ac:dyDescent="0.25">
      <c r="A162" s="54" t="s">
        <v>39</v>
      </c>
      <c r="B162" s="58">
        <v>244</v>
      </c>
      <c r="C162" s="58">
        <v>343</v>
      </c>
      <c r="D162" s="5">
        <f t="shared" si="69"/>
        <v>0</v>
      </c>
      <c r="E162" s="2"/>
      <c r="F162" s="2"/>
      <c r="G162" s="5">
        <f t="shared" si="70"/>
        <v>0</v>
      </c>
      <c r="H162" s="2"/>
      <c r="I162" s="2"/>
      <c r="J162" s="36"/>
      <c r="K162" s="36"/>
      <c r="L162" s="36"/>
    </row>
    <row r="163" spans="1:12" ht="75" x14ac:dyDescent="0.25">
      <c r="A163" s="54" t="s">
        <v>40</v>
      </c>
      <c r="B163" s="58">
        <v>244</v>
      </c>
      <c r="C163" s="58">
        <v>344</v>
      </c>
      <c r="D163" s="5">
        <f t="shared" si="69"/>
        <v>0</v>
      </c>
      <c r="E163" s="2"/>
      <c r="F163" s="2"/>
      <c r="G163" s="5">
        <f t="shared" si="70"/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41</v>
      </c>
      <c r="B164" s="58">
        <v>244</v>
      </c>
      <c r="C164" s="58">
        <v>345</v>
      </c>
      <c r="D164" s="5">
        <f t="shared" si="69"/>
        <v>0</v>
      </c>
      <c r="E164" s="2"/>
      <c r="F164" s="2"/>
      <c r="G164" s="5">
        <f t="shared" si="70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42</v>
      </c>
      <c r="B165" s="58">
        <v>244</v>
      </c>
      <c r="C165" s="58">
        <v>346</v>
      </c>
      <c r="D165" s="5">
        <f t="shared" si="69"/>
        <v>0</v>
      </c>
      <c r="E165" s="2"/>
      <c r="F165" s="2"/>
      <c r="G165" s="5">
        <f t="shared" si="70"/>
        <v>0</v>
      </c>
      <c r="H165" s="2"/>
      <c r="I165" s="2"/>
      <c r="J165" s="36"/>
      <c r="K165" s="36"/>
      <c r="L165" s="36"/>
    </row>
    <row r="166" spans="1:12" ht="112.5" x14ac:dyDescent="0.25">
      <c r="A166" s="170" t="s">
        <v>347</v>
      </c>
      <c r="B166" s="171">
        <v>244</v>
      </c>
      <c r="C166" s="171">
        <v>347</v>
      </c>
      <c r="D166" s="5">
        <f t="shared" ref="D166" si="71">E166+F166</f>
        <v>0</v>
      </c>
      <c r="E166" s="2"/>
      <c r="F166" s="2"/>
      <c r="G166" s="5">
        <f t="shared" ref="G166" si="72">H166+I166</f>
        <v>0</v>
      </c>
      <c r="H166" s="2"/>
      <c r="I166" s="2"/>
      <c r="J166" s="36"/>
      <c r="K166" s="36"/>
      <c r="L166" s="36"/>
    </row>
    <row r="167" spans="1:12" ht="112.5" x14ac:dyDescent="0.25">
      <c r="A167" s="54" t="s">
        <v>43</v>
      </c>
      <c r="B167" s="58">
        <v>244</v>
      </c>
      <c r="C167" s="58">
        <v>349</v>
      </c>
      <c r="D167" s="5">
        <f t="shared" si="69"/>
        <v>0</v>
      </c>
      <c r="E167" s="2"/>
      <c r="F167" s="2"/>
      <c r="G167" s="5">
        <f t="shared" si="70"/>
        <v>0</v>
      </c>
      <c r="H167" s="2"/>
      <c r="I167" s="2"/>
      <c r="J167" s="36"/>
      <c r="K167" s="36"/>
      <c r="L167" s="36"/>
    </row>
    <row r="168" spans="1:12" ht="17.45" customHeight="1" x14ac:dyDescent="0.25">
      <c r="A168" s="315" t="s">
        <v>202</v>
      </c>
      <c r="B168" s="316"/>
      <c r="C168" s="316"/>
      <c r="D168" s="316"/>
      <c r="E168" s="316"/>
      <c r="F168" s="316"/>
      <c r="G168" s="316"/>
      <c r="H168" s="316"/>
      <c r="I168" s="316"/>
      <c r="J168" s="76"/>
      <c r="K168" s="76"/>
      <c r="L168" s="76"/>
    </row>
    <row r="169" spans="1:12" ht="18.75" x14ac:dyDescent="0.25">
      <c r="A169" s="54" t="s">
        <v>8</v>
      </c>
      <c r="B169" s="58" t="s">
        <v>5</v>
      </c>
      <c r="C169" s="58">
        <v>200</v>
      </c>
      <c r="D169" s="5">
        <f t="shared" ref="D169" si="73">E169+F169</f>
        <v>0</v>
      </c>
      <c r="E169" s="2">
        <f>E171+E174+E194</f>
        <v>0</v>
      </c>
      <c r="F169" s="2">
        <f>F171+F174+F194</f>
        <v>0</v>
      </c>
      <c r="G169" s="5">
        <f t="shared" ref="G169" si="74">H169+I169</f>
        <v>0</v>
      </c>
      <c r="H169" s="2">
        <f>H171+H174+H194</f>
        <v>0</v>
      </c>
      <c r="I169" s="2">
        <f>I171+I174+I194</f>
        <v>0</v>
      </c>
      <c r="J169" s="36"/>
      <c r="K169" s="36"/>
      <c r="L169" s="36"/>
    </row>
    <row r="170" spans="1:12" ht="18.75" x14ac:dyDescent="0.25">
      <c r="A170" s="54" t="s">
        <v>9</v>
      </c>
      <c r="B170" s="58"/>
      <c r="C170" s="58"/>
      <c r="D170" s="5"/>
      <c r="E170" s="2"/>
      <c r="F170" s="2"/>
      <c r="G170" s="5"/>
      <c r="H170" s="2"/>
      <c r="I170" s="2"/>
      <c r="J170" s="36"/>
      <c r="K170" s="36"/>
      <c r="L170" s="36"/>
    </row>
    <row r="171" spans="1:12" ht="75" x14ac:dyDescent="0.25">
      <c r="A171" s="54" t="s">
        <v>10</v>
      </c>
      <c r="B171" s="58" t="s">
        <v>5</v>
      </c>
      <c r="C171" s="58">
        <v>210</v>
      </c>
      <c r="D171" s="5">
        <f t="shared" ref="D171" si="75">E171+F171</f>
        <v>0</v>
      </c>
      <c r="E171" s="2">
        <f>E173</f>
        <v>0</v>
      </c>
      <c r="F171" s="2">
        <f>F173</f>
        <v>0</v>
      </c>
      <c r="G171" s="5">
        <f t="shared" ref="G171" si="76">H171+I171</f>
        <v>0</v>
      </c>
      <c r="H171" s="2">
        <f>H173</f>
        <v>0</v>
      </c>
      <c r="I171" s="2">
        <f>I173</f>
        <v>0</v>
      </c>
      <c r="J171" s="36"/>
      <c r="K171" s="36"/>
      <c r="L171" s="36"/>
    </row>
    <row r="172" spans="1:12" ht="18.75" x14ac:dyDescent="0.25">
      <c r="A172" s="54" t="s">
        <v>9</v>
      </c>
      <c r="B172" s="58"/>
      <c r="C172" s="58"/>
      <c r="D172" s="5"/>
      <c r="E172" s="2"/>
      <c r="F172" s="2"/>
      <c r="G172" s="5"/>
      <c r="H172" s="2"/>
      <c r="I172" s="2"/>
      <c r="J172" s="36"/>
      <c r="K172" s="36"/>
      <c r="L172" s="36"/>
    </row>
    <row r="173" spans="1:12" ht="93.75" x14ac:dyDescent="0.25">
      <c r="A173" s="54" t="s">
        <v>201</v>
      </c>
      <c r="B173" s="58">
        <v>244</v>
      </c>
      <c r="C173" s="58">
        <v>214</v>
      </c>
      <c r="D173" s="5">
        <f>E173+F173</f>
        <v>0</v>
      </c>
      <c r="E173" s="70">
        <f>E36-E129</f>
        <v>0</v>
      </c>
      <c r="F173" s="2"/>
      <c r="G173" s="5">
        <f>H173+I173</f>
        <v>0</v>
      </c>
      <c r="H173" s="70">
        <f>H36-H129</f>
        <v>0</v>
      </c>
      <c r="I173" s="2"/>
      <c r="J173" s="36"/>
      <c r="K173" s="36"/>
      <c r="L173" s="36"/>
    </row>
    <row r="174" spans="1:12" ht="37.5" x14ac:dyDescent="0.25">
      <c r="A174" s="54" t="s">
        <v>14</v>
      </c>
      <c r="B174" s="58" t="s">
        <v>5</v>
      </c>
      <c r="C174" s="58">
        <v>220</v>
      </c>
      <c r="D174" s="5">
        <f t="shared" ref="D174" si="77">E174+F174</f>
        <v>0</v>
      </c>
      <c r="E174" s="2">
        <f>E176+E177+E178+E185+E186+E189+E192</f>
        <v>0</v>
      </c>
      <c r="F174" s="2">
        <f>F176+F177+F178+F185+F186+F189+F192</f>
        <v>0</v>
      </c>
      <c r="G174" s="5">
        <f t="shared" ref="G174" si="78">H174+I174</f>
        <v>0</v>
      </c>
      <c r="H174" s="2">
        <f>H176+H177+H178+H185+H186+H189+H192</f>
        <v>0</v>
      </c>
      <c r="I174" s="2">
        <f>I176+I177+I178+I185+I186+I189+I192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18.75" x14ac:dyDescent="0.25">
      <c r="A176" s="54" t="s">
        <v>15</v>
      </c>
      <c r="B176" s="58">
        <v>244</v>
      </c>
      <c r="C176" s="58">
        <v>221</v>
      </c>
      <c r="D176" s="5">
        <f t="shared" ref="D176:D178" si="79">E176+F176</f>
        <v>0</v>
      </c>
      <c r="E176" s="2">
        <f>E39-E132</f>
        <v>0</v>
      </c>
      <c r="F176" s="2"/>
      <c r="G176" s="5">
        <f t="shared" ref="G176:G178" si="80">H176+I176</f>
        <v>0</v>
      </c>
      <c r="H176" s="2">
        <f>H39-H132</f>
        <v>0</v>
      </c>
      <c r="I176" s="2"/>
      <c r="J176" s="36"/>
      <c r="K176" s="36"/>
      <c r="L176" s="36"/>
    </row>
    <row r="177" spans="1:12" ht="37.5" x14ac:dyDescent="0.25">
      <c r="A177" s="54" t="s">
        <v>16</v>
      </c>
      <c r="B177" s="58">
        <v>244</v>
      </c>
      <c r="C177" s="58">
        <v>222</v>
      </c>
      <c r="D177" s="5">
        <f t="shared" si="79"/>
        <v>0</v>
      </c>
      <c r="E177" s="70">
        <f>E42-E133</f>
        <v>0</v>
      </c>
      <c r="F177" s="2"/>
      <c r="G177" s="5">
        <f t="shared" si="80"/>
        <v>0</v>
      </c>
      <c r="H177" s="70">
        <f>H42-H133</f>
        <v>0</v>
      </c>
      <c r="I177" s="2"/>
      <c r="J177" s="36"/>
      <c r="K177" s="36"/>
      <c r="L177" s="36"/>
    </row>
    <row r="178" spans="1:12" ht="37.5" x14ac:dyDescent="0.25">
      <c r="A178" s="54" t="s">
        <v>17</v>
      </c>
      <c r="B178" s="58" t="s">
        <v>5</v>
      </c>
      <c r="C178" s="58">
        <v>223</v>
      </c>
      <c r="D178" s="5">
        <f t="shared" si="79"/>
        <v>0</v>
      </c>
      <c r="E178" s="2">
        <f t="shared" ref="E178:F178" si="81">E180+E181+E182+E183+E184</f>
        <v>0</v>
      </c>
      <c r="F178" s="2">
        <f t="shared" si="81"/>
        <v>0</v>
      </c>
      <c r="G178" s="5">
        <f t="shared" si="80"/>
        <v>0</v>
      </c>
      <c r="H178" s="2">
        <f t="shared" ref="H178:I178" si="82">H180+H181+H182+H183+H184</f>
        <v>0</v>
      </c>
      <c r="I178" s="2">
        <f t="shared" si="82"/>
        <v>0</v>
      </c>
      <c r="J178" s="36"/>
      <c r="K178" s="36"/>
      <c r="L178" s="36"/>
    </row>
    <row r="179" spans="1:12" ht="18.75" x14ac:dyDescent="0.25">
      <c r="A179" s="54" t="s">
        <v>6</v>
      </c>
      <c r="B179" s="58"/>
      <c r="C179" s="58"/>
      <c r="D179" s="5"/>
      <c r="E179" s="2"/>
      <c r="F179" s="2"/>
      <c r="G179" s="5"/>
      <c r="H179" s="2"/>
      <c r="I179" s="2"/>
      <c r="J179" s="36"/>
      <c r="K179" s="36"/>
      <c r="L179" s="36"/>
    </row>
    <row r="180" spans="1:12" ht="56.25" x14ac:dyDescent="0.25">
      <c r="A180" s="54" t="s">
        <v>18</v>
      </c>
      <c r="B180" s="58">
        <v>244</v>
      </c>
      <c r="C180" s="58">
        <v>223</v>
      </c>
      <c r="D180" s="5">
        <f t="shared" ref="D180:D185" si="83">E180+F180</f>
        <v>0</v>
      </c>
      <c r="E180" s="2">
        <f t="shared" ref="E180:E185" si="84">E45-E136</f>
        <v>0</v>
      </c>
      <c r="F180" s="2"/>
      <c r="G180" s="5">
        <f t="shared" ref="G180:G185" si="85">H180+I180</f>
        <v>0</v>
      </c>
      <c r="H180" s="2">
        <f t="shared" ref="H180:H185" si="86">H45-H136</f>
        <v>0</v>
      </c>
      <c r="I180" s="2"/>
      <c r="J180" s="36"/>
      <c r="K180" s="36"/>
      <c r="L180" s="36"/>
    </row>
    <row r="181" spans="1:12" ht="37.5" x14ac:dyDescent="0.25">
      <c r="A181" s="54" t="s">
        <v>19</v>
      </c>
      <c r="B181" s="58">
        <v>244</v>
      </c>
      <c r="C181" s="58">
        <v>223</v>
      </c>
      <c r="D181" s="5">
        <f t="shared" si="83"/>
        <v>0</v>
      </c>
      <c r="E181" s="2">
        <f t="shared" si="84"/>
        <v>0</v>
      </c>
      <c r="F181" s="2"/>
      <c r="G181" s="5">
        <f t="shared" si="85"/>
        <v>0</v>
      </c>
      <c r="H181" s="2">
        <f t="shared" si="86"/>
        <v>0</v>
      </c>
      <c r="I181" s="2"/>
      <c r="J181" s="36"/>
      <c r="K181" s="36"/>
      <c r="L181" s="36"/>
    </row>
    <row r="182" spans="1:12" ht="75" x14ac:dyDescent="0.25">
      <c r="A182" s="54" t="s">
        <v>20</v>
      </c>
      <c r="B182" s="58">
        <v>244</v>
      </c>
      <c r="C182" s="58">
        <v>223</v>
      </c>
      <c r="D182" s="5">
        <f t="shared" si="83"/>
        <v>0</v>
      </c>
      <c r="E182" s="2">
        <f t="shared" si="84"/>
        <v>0</v>
      </c>
      <c r="F182" s="2"/>
      <c r="G182" s="5">
        <f t="shared" si="85"/>
        <v>0</v>
      </c>
      <c r="H182" s="2">
        <f t="shared" si="86"/>
        <v>0</v>
      </c>
      <c r="I182" s="2"/>
      <c r="J182" s="36"/>
      <c r="K182" s="36"/>
      <c r="L182" s="36"/>
    </row>
    <row r="183" spans="1:12" ht="75" x14ac:dyDescent="0.25">
      <c r="A183" s="54" t="s">
        <v>21</v>
      </c>
      <c r="B183" s="58">
        <v>244</v>
      </c>
      <c r="C183" s="58">
        <v>223</v>
      </c>
      <c r="D183" s="5">
        <f t="shared" si="83"/>
        <v>0</v>
      </c>
      <c r="E183" s="2">
        <f t="shared" si="84"/>
        <v>0</v>
      </c>
      <c r="F183" s="2"/>
      <c r="G183" s="5">
        <f t="shared" si="85"/>
        <v>0</v>
      </c>
      <c r="H183" s="2">
        <f t="shared" si="86"/>
        <v>0</v>
      </c>
      <c r="I183" s="2"/>
      <c r="J183" s="36"/>
      <c r="K183" s="36"/>
      <c r="L183" s="36"/>
    </row>
    <row r="184" spans="1:12" ht="56.25" x14ac:dyDescent="0.25">
      <c r="A184" s="54" t="s">
        <v>22</v>
      </c>
      <c r="B184" s="58">
        <v>244</v>
      </c>
      <c r="C184" s="58">
        <v>223</v>
      </c>
      <c r="D184" s="5">
        <f t="shared" si="83"/>
        <v>0</v>
      </c>
      <c r="E184" s="2">
        <f t="shared" si="84"/>
        <v>0</v>
      </c>
      <c r="F184" s="2"/>
      <c r="G184" s="5">
        <f t="shared" si="85"/>
        <v>0</v>
      </c>
      <c r="H184" s="2">
        <f t="shared" si="86"/>
        <v>0</v>
      </c>
      <c r="I184" s="2"/>
      <c r="J184" s="36"/>
      <c r="K184" s="36"/>
      <c r="L184" s="36"/>
    </row>
    <row r="185" spans="1:12" ht="168.75" x14ac:dyDescent="0.25">
      <c r="A185" s="54" t="s">
        <v>23</v>
      </c>
      <c r="B185" s="58">
        <v>244</v>
      </c>
      <c r="C185" s="58">
        <v>224</v>
      </c>
      <c r="D185" s="5">
        <f t="shared" si="83"/>
        <v>0</v>
      </c>
      <c r="E185" s="2">
        <f t="shared" si="84"/>
        <v>0</v>
      </c>
      <c r="F185" s="2"/>
      <c r="G185" s="5">
        <f t="shared" si="85"/>
        <v>0</v>
      </c>
      <c r="H185" s="2">
        <f t="shared" si="86"/>
        <v>0</v>
      </c>
      <c r="I185" s="2"/>
      <c r="J185" s="36"/>
      <c r="K185" s="36"/>
      <c r="L185" s="36"/>
    </row>
    <row r="186" spans="1:12" ht="56.25" x14ac:dyDescent="0.25">
      <c r="A186" s="54" t="s">
        <v>24</v>
      </c>
      <c r="B186" s="58" t="s">
        <v>5</v>
      </c>
      <c r="C186" s="58">
        <v>225</v>
      </c>
      <c r="D186" s="2">
        <f t="shared" ref="D186" si="87">D187+D188</f>
        <v>0</v>
      </c>
      <c r="E186" s="2">
        <f>E187+E188</f>
        <v>0</v>
      </c>
      <c r="F186" s="2">
        <f t="shared" ref="F186:G186" si="88">F187+F188</f>
        <v>0</v>
      </c>
      <c r="G186" s="2">
        <f t="shared" si="88"/>
        <v>0</v>
      </c>
      <c r="H186" s="2">
        <f>H187+H188</f>
        <v>0</v>
      </c>
      <c r="I186" s="2">
        <f t="shared" ref="I186" si="89">I187+I188</f>
        <v>0</v>
      </c>
      <c r="J186" s="36"/>
      <c r="K186" s="36"/>
      <c r="L186" s="36"/>
    </row>
    <row r="187" spans="1:12" ht="18.75" x14ac:dyDescent="0.25">
      <c r="A187" s="216" t="s">
        <v>6</v>
      </c>
      <c r="B187" s="58">
        <v>243</v>
      </c>
      <c r="C187" s="58">
        <v>225</v>
      </c>
      <c r="D187" s="5">
        <f t="shared" ref="D187:D198" si="90">E187+F187</f>
        <v>0</v>
      </c>
      <c r="E187" s="2">
        <f>E52-E143</f>
        <v>0</v>
      </c>
      <c r="F187" s="2"/>
      <c r="G187" s="5">
        <f t="shared" ref="G187:G198" si="91">H187+I187</f>
        <v>0</v>
      </c>
      <c r="H187" s="2">
        <f>H52-H143</f>
        <v>0</v>
      </c>
      <c r="I187" s="2"/>
      <c r="J187" s="36"/>
      <c r="K187" s="36"/>
      <c r="L187" s="36"/>
    </row>
    <row r="188" spans="1:12" ht="18.75" x14ac:dyDescent="0.25">
      <c r="A188" s="216"/>
      <c r="B188" s="58">
        <v>244</v>
      </c>
      <c r="C188" s="58">
        <v>225</v>
      </c>
      <c r="D188" s="5">
        <f t="shared" si="90"/>
        <v>0</v>
      </c>
      <c r="E188" s="2">
        <f>E53-E144</f>
        <v>0</v>
      </c>
      <c r="F188" s="2"/>
      <c r="G188" s="5">
        <f t="shared" si="91"/>
        <v>0</v>
      </c>
      <c r="H188" s="2">
        <f>H53-H144</f>
        <v>0</v>
      </c>
      <c r="I188" s="2"/>
      <c r="J188" s="36"/>
      <c r="K188" s="36"/>
      <c r="L188" s="36"/>
    </row>
    <row r="189" spans="1:12" ht="37.5" x14ac:dyDescent="0.25">
      <c r="A189" s="54" t="s">
        <v>58</v>
      </c>
      <c r="B189" s="58" t="s">
        <v>5</v>
      </c>
      <c r="C189" s="58">
        <v>226</v>
      </c>
      <c r="D189" s="5">
        <f t="shared" si="90"/>
        <v>0</v>
      </c>
      <c r="E189" s="2">
        <f>E190+E191</f>
        <v>0</v>
      </c>
      <c r="F189" s="2">
        <f>F190+F191</f>
        <v>0</v>
      </c>
      <c r="G189" s="5">
        <f t="shared" si="91"/>
        <v>0</v>
      </c>
      <c r="H189" s="2">
        <f>H190+H191</f>
        <v>0</v>
      </c>
      <c r="I189" s="2">
        <f>I190+I191</f>
        <v>0</v>
      </c>
      <c r="J189" s="36"/>
      <c r="K189" s="36"/>
      <c r="L189" s="36"/>
    </row>
    <row r="190" spans="1:12" ht="18.75" x14ac:dyDescent="0.25">
      <c r="A190" s="216" t="s">
        <v>6</v>
      </c>
      <c r="B190" s="58">
        <v>243</v>
      </c>
      <c r="C190" s="58">
        <v>226</v>
      </c>
      <c r="D190" s="5">
        <f t="shared" si="90"/>
        <v>0</v>
      </c>
      <c r="E190" s="2">
        <f>E58-E146</f>
        <v>0</v>
      </c>
      <c r="F190" s="2"/>
      <c r="G190" s="5">
        <f t="shared" si="91"/>
        <v>0</v>
      </c>
      <c r="H190" s="2">
        <f>H58-H146</f>
        <v>0</v>
      </c>
      <c r="I190" s="2"/>
      <c r="J190" s="36"/>
      <c r="K190" s="36"/>
      <c r="L190" s="36"/>
    </row>
    <row r="191" spans="1:12" ht="18.75" x14ac:dyDescent="0.25">
      <c r="A191" s="216"/>
      <c r="B191" s="58">
        <v>244</v>
      </c>
      <c r="C191" s="58">
        <v>226</v>
      </c>
      <c r="D191" s="5">
        <f t="shared" si="90"/>
        <v>0</v>
      </c>
      <c r="E191" s="2">
        <f>E59-E147</f>
        <v>0</v>
      </c>
      <c r="F191" s="2"/>
      <c r="G191" s="5">
        <f t="shared" si="91"/>
        <v>0</v>
      </c>
      <c r="H191" s="2">
        <f>H59-H147</f>
        <v>0</v>
      </c>
      <c r="I191" s="2"/>
      <c r="J191" s="36"/>
      <c r="K191" s="36"/>
      <c r="L191" s="36"/>
    </row>
    <row r="192" spans="1:12" ht="18.75" x14ac:dyDescent="0.25">
      <c r="A192" s="54" t="s">
        <v>25</v>
      </c>
      <c r="B192" s="58">
        <v>244</v>
      </c>
      <c r="C192" s="58">
        <v>227</v>
      </c>
      <c r="D192" s="5">
        <f t="shared" si="90"/>
        <v>0</v>
      </c>
      <c r="E192" s="2">
        <f>E60-E148</f>
        <v>0</v>
      </c>
      <c r="F192" s="2"/>
      <c r="G192" s="5">
        <f t="shared" si="91"/>
        <v>0</v>
      </c>
      <c r="H192" s="2">
        <f>H60-H148</f>
        <v>0</v>
      </c>
      <c r="I192" s="2"/>
      <c r="J192" s="36"/>
      <c r="K192" s="36"/>
      <c r="L192" s="36"/>
    </row>
    <row r="193" spans="1:12" ht="56.25" x14ac:dyDescent="0.25">
      <c r="A193" s="170" t="s">
        <v>346</v>
      </c>
      <c r="B193" s="171">
        <v>244</v>
      </c>
      <c r="C193" s="171">
        <v>228</v>
      </c>
      <c r="D193" s="5">
        <f t="shared" ref="D193" si="92">E193+F193</f>
        <v>0</v>
      </c>
      <c r="E193" s="2">
        <f>E61-E149</f>
        <v>0</v>
      </c>
      <c r="F193" s="2"/>
      <c r="G193" s="5">
        <f t="shared" ref="G193" si="93">H193+I193</f>
        <v>0</v>
      </c>
      <c r="H193" s="2">
        <f>H61-H149</f>
        <v>0</v>
      </c>
      <c r="I193" s="2"/>
      <c r="J193" s="36"/>
      <c r="K193" s="36"/>
      <c r="L193" s="36"/>
    </row>
    <row r="194" spans="1:12" ht="18.75" x14ac:dyDescent="0.25">
      <c r="A194" s="54" t="s">
        <v>30</v>
      </c>
      <c r="B194" s="58" t="s">
        <v>5</v>
      </c>
      <c r="C194" s="58">
        <v>290</v>
      </c>
      <c r="D194" s="5">
        <f t="shared" si="90"/>
        <v>0</v>
      </c>
      <c r="E194" s="2">
        <f>E196+E197</f>
        <v>0</v>
      </c>
      <c r="F194" s="2">
        <f>F196+F197</f>
        <v>0</v>
      </c>
      <c r="G194" s="5">
        <f t="shared" si="91"/>
        <v>0</v>
      </c>
      <c r="H194" s="2">
        <f>H196+H197</f>
        <v>0</v>
      </c>
      <c r="I194" s="2">
        <f>I196+I197</f>
        <v>0</v>
      </c>
      <c r="J194" s="36"/>
      <c r="K194" s="36"/>
      <c r="L194" s="36"/>
    </row>
    <row r="195" spans="1:12" ht="18.75" x14ac:dyDescent="0.25">
      <c r="A195" s="54" t="s">
        <v>9</v>
      </c>
      <c r="B195" s="58"/>
      <c r="C195" s="58"/>
      <c r="D195" s="5">
        <f t="shared" si="90"/>
        <v>0</v>
      </c>
      <c r="E195" s="2"/>
      <c r="F195" s="2"/>
      <c r="G195" s="5">
        <f t="shared" si="91"/>
        <v>0</v>
      </c>
      <c r="H195" s="2"/>
      <c r="I195" s="2"/>
      <c r="J195" s="36"/>
      <c r="K195" s="36"/>
      <c r="L195" s="36"/>
    </row>
    <row r="196" spans="1:12" ht="56.25" x14ac:dyDescent="0.25">
      <c r="A196" s="54" t="s">
        <v>34</v>
      </c>
      <c r="B196" s="58">
        <v>244</v>
      </c>
      <c r="C196" s="58">
        <v>296</v>
      </c>
      <c r="D196" s="5">
        <f t="shared" si="90"/>
        <v>0</v>
      </c>
      <c r="E196" s="2">
        <f>E79-E152</f>
        <v>0</v>
      </c>
      <c r="F196" s="2"/>
      <c r="G196" s="5">
        <f t="shared" si="91"/>
        <v>0</v>
      </c>
      <c r="H196" s="2">
        <f>H79-H152</f>
        <v>0</v>
      </c>
      <c r="I196" s="2"/>
      <c r="J196" s="36"/>
      <c r="K196" s="36"/>
      <c r="L196" s="36"/>
    </row>
    <row r="197" spans="1:12" ht="56.25" x14ac:dyDescent="0.25">
      <c r="A197" s="54" t="s">
        <v>35</v>
      </c>
      <c r="B197" s="58">
        <v>244</v>
      </c>
      <c r="C197" s="58">
        <v>297</v>
      </c>
      <c r="D197" s="5">
        <f t="shared" si="90"/>
        <v>0</v>
      </c>
      <c r="E197" s="2">
        <f>E86-E153</f>
        <v>0</v>
      </c>
      <c r="F197" s="2"/>
      <c r="G197" s="5">
        <f t="shared" si="91"/>
        <v>0</v>
      </c>
      <c r="H197" s="2">
        <f>H86-H153</f>
        <v>0</v>
      </c>
      <c r="I197" s="2"/>
      <c r="J197" s="36"/>
      <c r="K197" s="36"/>
      <c r="L197" s="36"/>
    </row>
    <row r="198" spans="1:12" ht="56.25" x14ac:dyDescent="0.25">
      <c r="A198" s="54" t="s">
        <v>59</v>
      </c>
      <c r="B198" s="58" t="s">
        <v>5</v>
      </c>
      <c r="C198" s="58">
        <v>300</v>
      </c>
      <c r="D198" s="5">
        <f t="shared" si="90"/>
        <v>0</v>
      </c>
      <c r="E198" s="2">
        <f>E200+E202+E201</f>
        <v>0</v>
      </c>
      <c r="F198" s="2">
        <f>F200+F202+F201</f>
        <v>0</v>
      </c>
      <c r="G198" s="5">
        <f t="shared" si="91"/>
        <v>0</v>
      </c>
      <c r="H198" s="2">
        <f>H200+H202+H201</f>
        <v>0</v>
      </c>
      <c r="I198" s="2">
        <f>I200+I202+I201</f>
        <v>0</v>
      </c>
      <c r="J198" s="36"/>
      <c r="K198" s="36"/>
      <c r="L198" s="36"/>
    </row>
    <row r="199" spans="1:12" ht="18.75" x14ac:dyDescent="0.25">
      <c r="A199" s="54" t="s">
        <v>9</v>
      </c>
      <c r="B199" s="58"/>
      <c r="C199" s="58"/>
      <c r="D199" s="5"/>
      <c r="E199" s="2"/>
      <c r="F199" s="2"/>
      <c r="G199" s="5"/>
      <c r="H199" s="2"/>
      <c r="I199" s="2"/>
      <c r="J199" s="36"/>
      <c r="K199" s="36"/>
      <c r="L199" s="36"/>
    </row>
    <row r="200" spans="1:12" ht="56.25" x14ac:dyDescent="0.25">
      <c r="A200" s="54" t="s">
        <v>36</v>
      </c>
      <c r="B200" s="58">
        <v>244</v>
      </c>
      <c r="C200" s="58">
        <v>310</v>
      </c>
      <c r="D200" s="5">
        <f t="shared" ref="D200:D202" si="94">E200+F200</f>
        <v>0</v>
      </c>
      <c r="E200" s="2">
        <f>E91-E156</f>
        <v>0</v>
      </c>
      <c r="F200" s="2"/>
      <c r="G200" s="5">
        <f t="shared" ref="G200:G202" si="95">H200+I200</f>
        <v>0</v>
      </c>
      <c r="H200" s="2">
        <f>H91-H156</f>
        <v>0</v>
      </c>
      <c r="I200" s="2"/>
      <c r="J200" s="36"/>
      <c r="K200" s="36"/>
      <c r="L200" s="36"/>
    </row>
    <row r="201" spans="1:12" ht="75" x14ac:dyDescent="0.25">
      <c r="A201" s="54" t="s">
        <v>68</v>
      </c>
      <c r="B201" s="58">
        <v>244</v>
      </c>
      <c r="C201" s="58">
        <v>320</v>
      </c>
      <c r="D201" s="5">
        <f t="shared" si="94"/>
        <v>0</v>
      </c>
      <c r="E201" s="2">
        <f>E92-E157</f>
        <v>0</v>
      </c>
      <c r="F201" s="2"/>
      <c r="G201" s="5">
        <f t="shared" si="95"/>
        <v>0</v>
      </c>
      <c r="H201" s="2">
        <f>H92-H157</f>
        <v>0</v>
      </c>
      <c r="I201" s="2"/>
      <c r="J201" s="36"/>
      <c r="K201" s="36"/>
      <c r="L201" s="36"/>
    </row>
    <row r="202" spans="1:12" ht="75" x14ac:dyDescent="0.25">
      <c r="A202" s="54" t="s">
        <v>60</v>
      </c>
      <c r="B202" s="58" t="s">
        <v>5</v>
      </c>
      <c r="C202" s="58">
        <v>340</v>
      </c>
      <c r="D202" s="5">
        <f t="shared" si="94"/>
        <v>0</v>
      </c>
      <c r="E202" s="2">
        <f>E204+E205+E206+E207+E208+E209+E211</f>
        <v>0</v>
      </c>
      <c r="F202" s="2">
        <f>F204+F205+F206+F207+F208+F209+F211</f>
        <v>0</v>
      </c>
      <c r="G202" s="5">
        <f t="shared" si="95"/>
        <v>0</v>
      </c>
      <c r="H202" s="2">
        <f>H204+H205+H206+H207+H208+H209+H211</f>
        <v>0</v>
      </c>
      <c r="I202" s="2">
        <f>I204+I205+I206+I207+I208+I209+I211</f>
        <v>0</v>
      </c>
      <c r="J202" s="36"/>
      <c r="K202" s="36"/>
      <c r="L202" s="36"/>
    </row>
    <row r="203" spans="1:12" ht="18.75" x14ac:dyDescent="0.25">
      <c r="A203" s="54" t="s">
        <v>6</v>
      </c>
      <c r="B203" s="58"/>
      <c r="C203" s="58"/>
      <c r="D203" s="5"/>
      <c r="E203" s="2"/>
      <c r="F203" s="2"/>
      <c r="G203" s="5"/>
      <c r="H203" s="2"/>
      <c r="I203" s="2"/>
      <c r="J203" s="36"/>
      <c r="K203" s="36"/>
      <c r="L203" s="36"/>
    </row>
    <row r="204" spans="1:12" ht="131.25" x14ac:dyDescent="0.25">
      <c r="A204" s="54" t="s">
        <v>37</v>
      </c>
      <c r="B204" s="58">
        <v>244</v>
      </c>
      <c r="C204" s="58">
        <v>341</v>
      </c>
      <c r="D204" s="5">
        <f t="shared" ref="D204:D211" si="96">E204+F204</f>
        <v>0</v>
      </c>
      <c r="E204" s="2">
        <f t="shared" ref="E204:E210" si="97">E95-E160</f>
        <v>0</v>
      </c>
      <c r="F204" s="2"/>
      <c r="G204" s="5">
        <f t="shared" ref="G204:G211" si="98">H204+I204</f>
        <v>0</v>
      </c>
      <c r="H204" s="2">
        <f t="shared" ref="H204:H210" si="99">H95-H160</f>
        <v>0</v>
      </c>
      <c r="I204" s="2"/>
      <c r="J204" s="36"/>
      <c r="K204" s="36"/>
      <c r="L204" s="36"/>
    </row>
    <row r="205" spans="1:12" ht="56.25" x14ac:dyDescent="0.25">
      <c r="A205" s="54" t="s">
        <v>38</v>
      </c>
      <c r="B205" s="58">
        <v>244</v>
      </c>
      <c r="C205" s="58">
        <v>342</v>
      </c>
      <c r="D205" s="5">
        <f t="shared" si="96"/>
        <v>0</v>
      </c>
      <c r="E205" s="2">
        <f t="shared" si="97"/>
        <v>0</v>
      </c>
      <c r="F205" s="2"/>
      <c r="G205" s="5">
        <f t="shared" si="98"/>
        <v>0</v>
      </c>
      <c r="H205" s="2">
        <f t="shared" si="99"/>
        <v>0</v>
      </c>
      <c r="I205" s="2"/>
      <c r="J205" s="36"/>
      <c r="K205" s="36"/>
      <c r="L205" s="36"/>
    </row>
    <row r="206" spans="1:12" ht="75" x14ac:dyDescent="0.25">
      <c r="A206" s="54" t="s">
        <v>39</v>
      </c>
      <c r="B206" s="58">
        <v>244</v>
      </c>
      <c r="C206" s="58">
        <v>343</v>
      </c>
      <c r="D206" s="5">
        <f t="shared" si="96"/>
        <v>0</v>
      </c>
      <c r="E206" s="2">
        <f t="shared" si="97"/>
        <v>0</v>
      </c>
      <c r="F206" s="2"/>
      <c r="G206" s="5">
        <f t="shared" si="98"/>
        <v>0</v>
      </c>
      <c r="H206" s="2">
        <f t="shared" si="99"/>
        <v>0</v>
      </c>
      <c r="I206" s="2"/>
      <c r="J206" s="36"/>
      <c r="K206" s="36"/>
      <c r="L206" s="36"/>
    </row>
    <row r="207" spans="1:12" ht="75" x14ac:dyDescent="0.25">
      <c r="A207" s="54" t="s">
        <v>40</v>
      </c>
      <c r="B207" s="58">
        <v>244</v>
      </c>
      <c r="C207" s="58">
        <v>344</v>
      </c>
      <c r="D207" s="5">
        <f t="shared" si="96"/>
        <v>0</v>
      </c>
      <c r="E207" s="2">
        <f t="shared" si="97"/>
        <v>0</v>
      </c>
      <c r="F207" s="2"/>
      <c r="G207" s="5">
        <f t="shared" si="98"/>
        <v>0</v>
      </c>
      <c r="H207" s="2">
        <f t="shared" si="99"/>
        <v>0</v>
      </c>
      <c r="I207" s="2"/>
      <c r="J207" s="36"/>
      <c r="K207" s="36"/>
      <c r="L207" s="36"/>
    </row>
    <row r="208" spans="1:12" ht="56.25" x14ac:dyDescent="0.25">
      <c r="A208" s="54" t="s">
        <v>41</v>
      </c>
      <c r="B208" s="58">
        <v>244</v>
      </c>
      <c r="C208" s="58">
        <v>345</v>
      </c>
      <c r="D208" s="5">
        <f t="shared" si="96"/>
        <v>0</v>
      </c>
      <c r="E208" s="2">
        <f t="shared" si="97"/>
        <v>0</v>
      </c>
      <c r="F208" s="2"/>
      <c r="G208" s="5">
        <f t="shared" si="98"/>
        <v>0</v>
      </c>
      <c r="H208" s="2">
        <f t="shared" si="99"/>
        <v>0</v>
      </c>
      <c r="I208" s="2"/>
      <c r="J208" s="36"/>
      <c r="K208" s="36"/>
      <c r="L208" s="36"/>
    </row>
    <row r="209" spans="1:12" ht="75" x14ac:dyDescent="0.25">
      <c r="A209" s="54" t="s">
        <v>42</v>
      </c>
      <c r="B209" s="58">
        <v>244</v>
      </c>
      <c r="C209" s="58">
        <v>346</v>
      </c>
      <c r="D209" s="5">
        <f t="shared" si="96"/>
        <v>0</v>
      </c>
      <c r="E209" s="2">
        <f t="shared" si="97"/>
        <v>0</v>
      </c>
      <c r="F209" s="2"/>
      <c r="G209" s="5">
        <f t="shared" si="98"/>
        <v>0</v>
      </c>
      <c r="H209" s="2">
        <f t="shared" si="99"/>
        <v>0</v>
      </c>
      <c r="I209" s="2"/>
      <c r="J209" s="36"/>
      <c r="K209" s="36"/>
      <c r="L209" s="36"/>
    </row>
    <row r="210" spans="1:12" ht="112.5" x14ac:dyDescent="0.25">
      <c r="A210" s="170" t="s">
        <v>347</v>
      </c>
      <c r="B210" s="171">
        <v>244</v>
      </c>
      <c r="C210" s="171">
        <v>347</v>
      </c>
      <c r="D210" s="5">
        <f t="shared" ref="D210" si="100">E210+F210</f>
        <v>0</v>
      </c>
      <c r="E210" s="2">
        <f t="shared" si="97"/>
        <v>0</v>
      </c>
      <c r="F210" s="2"/>
      <c r="G210" s="5">
        <f t="shared" ref="G210" si="101">H210+I210</f>
        <v>0</v>
      </c>
      <c r="H210" s="2">
        <f t="shared" si="99"/>
        <v>0</v>
      </c>
      <c r="I210" s="2"/>
      <c r="J210" s="36"/>
      <c r="K210" s="36"/>
      <c r="L210" s="36"/>
    </row>
    <row r="211" spans="1:12" ht="112.5" x14ac:dyDescent="0.25">
      <c r="A211" s="54" t="s">
        <v>43</v>
      </c>
      <c r="B211" s="58">
        <v>244</v>
      </c>
      <c r="C211" s="58">
        <v>349</v>
      </c>
      <c r="D211" s="5">
        <f t="shared" si="96"/>
        <v>0</v>
      </c>
      <c r="E211" s="2">
        <f t="shared" ref="E211" si="102">E102-E167</f>
        <v>0</v>
      </c>
      <c r="F211" s="2"/>
      <c r="G211" s="5">
        <f t="shared" si="98"/>
        <v>0</v>
      </c>
      <c r="H211" s="2">
        <f t="shared" ref="H211" si="103">H102-H167</f>
        <v>0</v>
      </c>
      <c r="I211" s="2"/>
      <c r="J211" s="36"/>
      <c r="K211" s="36"/>
      <c r="L211" s="36"/>
    </row>
  </sheetData>
  <mergeCells count="39">
    <mergeCell ref="A35:A36"/>
    <mergeCell ref="A41:A42"/>
    <mergeCell ref="A52:A53"/>
    <mergeCell ref="A1:I1"/>
    <mergeCell ref="A2:I2"/>
    <mergeCell ref="A5:A6"/>
    <mergeCell ref="B5:B6"/>
    <mergeCell ref="C5:C6"/>
    <mergeCell ref="D5:D6"/>
    <mergeCell ref="H5:I5"/>
    <mergeCell ref="G5:G6"/>
    <mergeCell ref="E5:F5"/>
    <mergeCell ref="A55:A59"/>
    <mergeCell ref="A66:A67"/>
    <mergeCell ref="N120:P120"/>
    <mergeCell ref="A120:I120"/>
    <mergeCell ref="K120:M120"/>
    <mergeCell ref="A119:B119"/>
    <mergeCell ref="B114:C114"/>
    <mergeCell ref="E114:F114"/>
    <mergeCell ref="B116:C116"/>
    <mergeCell ref="E116:F116"/>
    <mergeCell ref="B117:C117"/>
    <mergeCell ref="E117:F117"/>
    <mergeCell ref="A72:A74"/>
    <mergeCell ref="A79:A84"/>
    <mergeCell ref="A86:A88"/>
    <mergeCell ref="A190:A191"/>
    <mergeCell ref="B110:C110"/>
    <mergeCell ref="E110:F110"/>
    <mergeCell ref="B111:C111"/>
    <mergeCell ref="E111:F111"/>
    <mergeCell ref="A124:I124"/>
    <mergeCell ref="A143:A144"/>
    <mergeCell ref="A146:A147"/>
    <mergeCell ref="A168:I168"/>
    <mergeCell ref="A187:A188"/>
    <mergeCell ref="B113:C113"/>
    <mergeCell ref="E113:F113"/>
  </mergeCells>
  <pageMargins left="0.78740157480314965" right="0.78740157480314965" top="1.3779527559055118" bottom="0.39370078740157483" header="0.31496062992125984" footer="0.31496062992125984"/>
  <pageSetup paperSize="9" scale="61" orientation="landscape" r:id="rId1"/>
  <rowBreaks count="1" manualBreakCount="1">
    <brk id="99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6"/>
  <sheetViews>
    <sheetView view="pageBreakPreview" zoomScale="60" zoomScaleNormal="100" workbookViewId="0">
      <selection activeCell="B69" sqref="B6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2" t="s">
        <v>268</v>
      </c>
      <c r="B1" s="232"/>
      <c r="C1" s="232"/>
      <c r="D1" s="232"/>
      <c r="E1" s="232"/>
      <c r="F1" s="232"/>
      <c r="G1" s="232"/>
      <c r="H1" s="232"/>
      <c r="I1" s="232"/>
    </row>
    <row r="2" spans="1:9" ht="18.75" x14ac:dyDescent="0.25">
      <c r="A2" s="232" t="s">
        <v>74</v>
      </c>
      <c r="B2" s="232"/>
      <c r="C2" s="232"/>
      <c r="D2" s="232"/>
      <c r="E2" s="232"/>
      <c r="F2" s="232"/>
      <c r="G2" s="232"/>
      <c r="H2" s="232"/>
      <c r="I2" s="232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73</v>
      </c>
      <c r="F5" s="226"/>
      <c r="G5" s="226" t="s">
        <v>1</v>
      </c>
      <c r="H5" s="226" t="s">
        <v>73</v>
      </c>
      <c r="I5" s="226"/>
    </row>
    <row r="6" spans="1:9" ht="15.75" x14ac:dyDescent="0.25">
      <c r="A6" s="323"/>
      <c r="B6" s="324"/>
      <c r="C6" s="325"/>
      <c r="D6" s="324"/>
      <c r="E6" s="324" t="s">
        <v>6</v>
      </c>
      <c r="F6" s="324"/>
      <c r="G6" s="324"/>
      <c r="H6" s="324" t="s">
        <v>6</v>
      </c>
      <c r="I6" s="324"/>
    </row>
    <row r="7" spans="1:9" ht="212.45" customHeight="1" thickBot="1" x14ac:dyDescent="0.3">
      <c r="A7" s="225"/>
      <c r="B7" s="227"/>
      <c r="C7" s="229"/>
      <c r="D7" s="227"/>
      <c r="E7" s="117" t="s">
        <v>198</v>
      </c>
      <c r="F7" s="117" t="s">
        <v>199</v>
      </c>
      <c r="G7" s="227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37.5" x14ac:dyDescent="0.25">
      <c r="A9" s="95" t="s">
        <v>235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E13+E41+E55+E83</f>
        <v>0</v>
      </c>
      <c r="F10" s="2">
        <f>F13+F41+F55+F83</f>
        <v>0</v>
      </c>
      <c r="G10" s="5">
        <f t="shared" si="1"/>
        <v>0</v>
      </c>
      <c r="H10" s="2">
        <f>H13+H41+H55+H83</f>
        <v>0</v>
      </c>
      <c r="I10" s="2">
        <f>I13+I41+I55+I83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0" t="s">
        <v>200</v>
      </c>
      <c r="B12" s="321"/>
      <c r="C12" s="321"/>
      <c r="D12" s="321"/>
      <c r="E12" s="321"/>
      <c r="F12" s="321"/>
      <c r="G12" s="321"/>
      <c r="H12" s="321"/>
      <c r="I12" s="322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'платные на 2022-2023 год'!E129</f>
        <v>0</v>
      </c>
      <c r="F17" s="2">
        <f>'платные на 2022-2023 год'!F129</f>
        <v>0</v>
      </c>
      <c r="G17" s="5">
        <f>H17+I17</f>
        <v>0</v>
      </c>
      <c r="H17" s="2">
        <f>'платные на 2022-2023 год'!H129</f>
        <v>0</v>
      </c>
      <c r="I17" s="2">
        <f>'платные на 2022-2023 год'!I129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'платные на 2022-2023 год'!E132</f>
        <v>0</v>
      </c>
      <c r="F20" s="2">
        <f>'платные на 2022-2023 год'!F132</f>
        <v>0</v>
      </c>
      <c r="G20" s="5">
        <f t="shared" ref="G20:G22" si="6">H20+I20</f>
        <v>0</v>
      </c>
      <c r="H20" s="2">
        <f>'платные на 2022-2023 год'!H132</f>
        <v>0</v>
      </c>
      <c r="I20" s="2">
        <f>'платные на 2022-2023 год'!I132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'платные на 2022-2023 год'!E133</f>
        <v>0</v>
      </c>
      <c r="F21" s="2">
        <f>'платные на 2022-2023 год'!F133</f>
        <v>0</v>
      </c>
      <c r="G21" s="5">
        <f t="shared" si="6"/>
        <v>0</v>
      </c>
      <c r="H21" s="2">
        <f>'платные на 2022-2023 год'!H133</f>
        <v>0</v>
      </c>
      <c r="I21" s="2">
        <f>'платные на 2022-2023 год'!I133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247</v>
      </c>
      <c r="C24" s="119">
        <v>223</v>
      </c>
      <c r="D24" s="5">
        <f t="shared" si="2"/>
        <v>0</v>
      </c>
      <c r="E24" s="2">
        <f>'платные на 2022-2023 год'!E136</f>
        <v>0</v>
      </c>
      <c r="F24" s="2">
        <f>'платные на 2022-2023 год'!F136</f>
        <v>0</v>
      </c>
      <c r="G24" s="5">
        <f t="shared" ref="G24:G29" si="9">H24+I24</f>
        <v>0</v>
      </c>
      <c r="H24" s="2">
        <f>'платные на 2022-2023 год'!H136</f>
        <v>0</v>
      </c>
      <c r="I24" s="2">
        <f>'платные на 2022-2023 год'!I136</f>
        <v>0</v>
      </c>
    </row>
    <row r="25" spans="1:9" ht="37.5" x14ac:dyDescent="0.25">
      <c r="A25" s="115" t="s">
        <v>19</v>
      </c>
      <c r="B25" s="119">
        <v>247</v>
      </c>
      <c r="C25" s="119">
        <v>223</v>
      </c>
      <c r="D25" s="5">
        <f t="shared" si="2"/>
        <v>0</v>
      </c>
      <c r="E25" s="2">
        <f>'платные на 2022-2023 год'!E137</f>
        <v>0</v>
      </c>
      <c r="F25" s="2">
        <f>'платные на 2022-2023 год'!F137</f>
        <v>0</v>
      </c>
      <c r="G25" s="5">
        <f t="shared" si="9"/>
        <v>0</v>
      </c>
      <c r="H25" s="2">
        <f>'платные на 2022-2023 год'!H137</f>
        <v>0</v>
      </c>
      <c r="I25" s="2">
        <f>'платные на 2022-2023 год'!I137</f>
        <v>0</v>
      </c>
    </row>
    <row r="26" spans="1:9" ht="65.45" customHeight="1" x14ac:dyDescent="0.25">
      <c r="A26" s="115" t="s">
        <v>20</v>
      </c>
      <c r="B26" s="119">
        <v>247</v>
      </c>
      <c r="C26" s="119">
        <v>223</v>
      </c>
      <c r="D26" s="5">
        <f t="shared" si="2"/>
        <v>0</v>
      </c>
      <c r="E26" s="2">
        <f>'платные на 2022-2023 год'!E138</f>
        <v>0</v>
      </c>
      <c r="F26" s="2">
        <f>'платные на 2022-2023 год'!F138</f>
        <v>0</v>
      </c>
      <c r="G26" s="5">
        <f t="shared" si="9"/>
        <v>0</v>
      </c>
      <c r="H26" s="2">
        <f>'платные на 2022-2023 год'!H138</f>
        <v>0</v>
      </c>
      <c r="I26" s="2">
        <f>'платные на 2022-2023 год'!I138</f>
        <v>0</v>
      </c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>
        <f>'платные на 2022-2023 год'!E139</f>
        <v>0</v>
      </c>
      <c r="F27" s="2">
        <f>'платные на 2022-2023 год'!F139</f>
        <v>0</v>
      </c>
      <c r="G27" s="5">
        <f t="shared" si="9"/>
        <v>0</v>
      </c>
      <c r="H27" s="2">
        <f>'платные на 2022-2023 год'!H139</f>
        <v>0</v>
      </c>
      <c r="I27" s="2">
        <f>'платные на 2022-2023 год'!I139</f>
        <v>0</v>
      </c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>
        <f>'платные на 2022-2023 год'!E140</f>
        <v>0</v>
      </c>
      <c r="F28" s="2">
        <f>'платные на 2022-2023 год'!F140</f>
        <v>0</v>
      </c>
      <c r="G28" s="5">
        <f t="shared" si="9"/>
        <v>0</v>
      </c>
      <c r="H28" s="2">
        <f>'платные на 2022-2023 год'!H140</f>
        <v>0</v>
      </c>
      <c r="I28" s="2">
        <f>'платные на 2022-2023 год'!I140</f>
        <v>0</v>
      </c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>
        <f>'платные на 2022-2023 год'!E141</f>
        <v>0</v>
      </c>
      <c r="F29" s="2">
        <f>'платные на 2022-2023 год'!F141</f>
        <v>0</v>
      </c>
      <c r="G29" s="5">
        <f t="shared" si="9"/>
        <v>0</v>
      </c>
      <c r="H29" s="2">
        <f>'платные на 2022-2023 год'!H141</f>
        <v>0</v>
      </c>
      <c r="I29" s="2">
        <f>'платные на 2022-2023 год'!I141</f>
        <v>0</v>
      </c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16" t="s">
        <v>6</v>
      </c>
      <c r="B31" s="119">
        <v>243</v>
      </c>
      <c r="C31" s="119">
        <v>225</v>
      </c>
      <c r="D31" s="5">
        <f t="shared" si="2"/>
        <v>0</v>
      </c>
      <c r="E31" s="2">
        <f>'платные на 2022-2023 год'!E143</f>
        <v>0</v>
      </c>
      <c r="F31" s="2">
        <f>'платные на 2022-2023 год'!F143</f>
        <v>0</v>
      </c>
      <c r="G31" s="5">
        <f t="shared" ref="G31:G41" si="12">H31+I31</f>
        <v>0</v>
      </c>
      <c r="H31" s="2">
        <f>'платные на 2022-2023 год'!H143</f>
        <v>0</v>
      </c>
      <c r="I31" s="2">
        <f>'платные на 2022-2023 год'!I143</f>
        <v>0</v>
      </c>
    </row>
    <row r="32" spans="1:9" ht="18.75" x14ac:dyDescent="0.25">
      <c r="A32" s="216"/>
      <c r="B32" s="119">
        <v>244</v>
      </c>
      <c r="C32" s="119">
        <v>225</v>
      </c>
      <c r="D32" s="5">
        <f t="shared" si="2"/>
        <v>0</v>
      </c>
      <c r="E32" s="2">
        <f>'платные на 2022-2023 год'!E144</f>
        <v>0</v>
      </c>
      <c r="F32" s="2">
        <f>'платные на 2022-2023 год'!F144</f>
        <v>0</v>
      </c>
      <c r="G32" s="5">
        <f t="shared" si="12"/>
        <v>0</v>
      </c>
      <c r="H32" s="2">
        <f>'платные на 2022-2023 год'!H144</f>
        <v>0</v>
      </c>
      <c r="I32" s="2">
        <f>'платные на 2022-2023 год'!I144</f>
        <v>0</v>
      </c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16" t="s">
        <v>6</v>
      </c>
      <c r="B34" s="119">
        <v>243</v>
      </c>
      <c r="C34" s="119">
        <v>226</v>
      </c>
      <c r="D34" s="5">
        <f t="shared" si="2"/>
        <v>0</v>
      </c>
      <c r="E34" s="2">
        <f>'платные на 2022-2023 год'!E146</f>
        <v>0</v>
      </c>
      <c r="F34" s="2">
        <f>'платные на 2022-2023 год'!F146</f>
        <v>0</v>
      </c>
      <c r="G34" s="5">
        <f t="shared" si="12"/>
        <v>0</v>
      </c>
      <c r="H34" s="2">
        <f>'платные на 2022-2023 год'!H146</f>
        <v>0</v>
      </c>
      <c r="I34" s="2">
        <f>'платные на 2022-2023 год'!I146</f>
        <v>0</v>
      </c>
    </row>
    <row r="35" spans="1:9" ht="18.75" x14ac:dyDescent="0.25">
      <c r="A35" s="216"/>
      <c r="B35" s="119">
        <v>244</v>
      </c>
      <c r="C35" s="119">
        <v>226</v>
      </c>
      <c r="D35" s="5">
        <f t="shared" si="2"/>
        <v>0</v>
      </c>
      <c r="E35" s="2">
        <f>'платные на 2022-2023 год'!E147</f>
        <v>0</v>
      </c>
      <c r="F35" s="2">
        <f>'платные на 2022-2023 год'!F147</f>
        <v>0</v>
      </c>
      <c r="G35" s="5">
        <f t="shared" si="12"/>
        <v>0</v>
      </c>
      <c r="H35" s="2">
        <f>'платные на 2022-2023 год'!H147</f>
        <v>0</v>
      </c>
      <c r="I35" s="2">
        <f>'платные на 2022-2023 год'!I147</f>
        <v>0</v>
      </c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>
        <f>'платные на 2022-2023 год'!E148</f>
        <v>0</v>
      </c>
      <c r="F36" s="2">
        <f>'платные на 2022-2023 год'!F148</f>
        <v>0</v>
      </c>
      <c r="G36" s="5">
        <f t="shared" si="12"/>
        <v>0</v>
      </c>
      <c r="H36" s="2">
        <f>'платные на 2022-2023 год'!H148</f>
        <v>0</v>
      </c>
      <c r="I36" s="2">
        <f>'платные на 2022-2023 год'!I148</f>
        <v>0</v>
      </c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>
        <f>'платные на 2022-2023 год'!E152</f>
        <v>0</v>
      </c>
      <c r="F39" s="2">
        <f>'платные на 2022-2023 год'!F152</f>
        <v>0</v>
      </c>
      <c r="G39" s="5">
        <f t="shared" si="12"/>
        <v>0</v>
      </c>
      <c r="H39" s="2">
        <f>'платные на 2022-2023 год'!H152</f>
        <v>0</v>
      </c>
      <c r="I39" s="2">
        <f>'платные на 2022-2023 год'!I152</f>
        <v>0</v>
      </c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>
        <f>'платные на 2022-2023 год'!E153</f>
        <v>0</v>
      </c>
      <c r="F40" s="2">
        <f>'платные на 2022-2023 год'!F153</f>
        <v>0</v>
      </c>
      <c r="G40" s="5">
        <f t="shared" si="12"/>
        <v>0</v>
      </c>
      <c r="H40" s="2">
        <f>'платные на 2022-2023 год'!H153</f>
        <v>0</v>
      </c>
      <c r="I40" s="2">
        <f>'платные на 2022-2023 год'!I153</f>
        <v>0</v>
      </c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>
        <f>'платные на 2022-2023 год'!E156</f>
        <v>0</v>
      </c>
      <c r="F43" s="2">
        <f>'платные на 2022-2023 год'!F156</f>
        <v>0</v>
      </c>
      <c r="G43" s="5">
        <f t="shared" ref="G43:G45" si="13">H43+I43</f>
        <v>0</v>
      </c>
      <c r="H43" s="2">
        <f>'платные на 2022-2023 год'!H156</f>
        <v>0</v>
      </c>
      <c r="I43" s="2">
        <f>'платные на 2022-2023 год'!I156</f>
        <v>0</v>
      </c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>
        <f>'платные на 2022-2023 год'!E157</f>
        <v>0</v>
      </c>
      <c r="F44" s="2">
        <f>'платные на 2022-2023 год'!F157</f>
        <v>0</v>
      </c>
      <c r="G44" s="5">
        <f t="shared" si="13"/>
        <v>0</v>
      </c>
      <c r="H44" s="2">
        <f>'платные на 2022-2023 год'!H157</f>
        <v>0</v>
      </c>
      <c r="I44" s="2">
        <f>'платные на 2022-2023 год'!I157</f>
        <v>0</v>
      </c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>
        <f>'платные на 2022-2023 год'!E160</f>
        <v>0</v>
      </c>
      <c r="F47" s="2">
        <f>'платные на 2022-2023 год'!F160</f>
        <v>0</v>
      </c>
      <c r="G47" s="5">
        <f t="shared" ref="G47:G53" si="15">H47+I47</f>
        <v>0</v>
      </c>
      <c r="H47" s="2">
        <f>'платные на 2022-2023 год'!H160</f>
        <v>0</v>
      </c>
      <c r="I47" s="2">
        <f>'платные на 2022-2023 год'!I160</f>
        <v>0</v>
      </c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>
        <f>'платные на 2022-2023 год'!E161</f>
        <v>0</v>
      </c>
      <c r="F48" s="2">
        <f>'платные на 2022-2023 год'!F161</f>
        <v>0</v>
      </c>
      <c r="G48" s="5">
        <f t="shared" si="15"/>
        <v>0</v>
      </c>
      <c r="H48" s="2">
        <f>'платные на 2022-2023 год'!H161</f>
        <v>0</v>
      </c>
      <c r="I48" s="2">
        <f>'платные на 2022-2023 год'!I161</f>
        <v>0</v>
      </c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>
        <f>'платные на 2022-2023 год'!E162</f>
        <v>0</v>
      </c>
      <c r="F49" s="2">
        <f>'платные на 2022-2023 год'!F162</f>
        <v>0</v>
      </c>
      <c r="G49" s="5">
        <f t="shared" si="15"/>
        <v>0</v>
      </c>
      <c r="H49" s="2">
        <f>'платные на 2022-2023 год'!H162</f>
        <v>0</v>
      </c>
      <c r="I49" s="2">
        <f>'платные на 2022-2023 год'!I162</f>
        <v>0</v>
      </c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>
        <f>'платные на 2022-2023 год'!E163</f>
        <v>0</v>
      </c>
      <c r="F50" s="2">
        <f>'платные на 2022-2023 год'!F163</f>
        <v>0</v>
      </c>
      <c r="G50" s="5">
        <f t="shared" si="15"/>
        <v>0</v>
      </c>
      <c r="H50" s="2">
        <f>'платные на 2022-2023 год'!H163</f>
        <v>0</v>
      </c>
      <c r="I50" s="2">
        <f>'платные на 2022-2023 год'!I163</f>
        <v>0</v>
      </c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>
        <f>'платные на 2022-2023 год'!E164</f>
        <v>0</v>
      </c>
      <c r="F51" s="2">
        <f>'платные на 2022-2023 год'!F164</f>
        <v>0</v>
      </c>
      <c r="G51" s="5">
        <f t="shared" si="15"/>
        <v>0</v>
      </c>
      <c r="H51" s="2">
        <f>'платные на 2022-2023 год'!H164</f>
        <v>0</v>
      </c>
      <c r="I51" s="2">
        <f>'платные на 2022-2023 год'!I164</f>
        <v>0</v>
      </c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>
        <f>'платные на 2022-2023 год'!E165</f>
        <v>0</v>
      </c>
      <c r="F52" s="2">
        <f>'платные на 2022-2023 год'!F165</f>
        <v>0</v>
      </c>
      <c r="G52" s="5">
        <f t="shared" si="15"/>
        <v>0</v>
      </c>
      <c r="H52" s="2">
        <f>'платные на 2022-2023 год'!H165</f>
        <v>0</v>
      </c>
      <c r="I52" s="2">
        <f>'платные на 2022-2023 год'!I165</f>
        <v>0</v>
      </c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>
        <f>'платные на 2022-2023 год'!E167</f>
        <v>0</v>
      </c>
      <c r="F53" s="2">
        <f>'платные на 2022-2023 год'!F167</f>
        <v>0</v>
      </c>
      <c r="G53" s="5">
        <f t="shared" si="15"/>
        <v>0</v>
      </c>
      <c r="H53" s="2">
        <f>'платные на 2022-2023 год'!H167</f>
        <v>0</v>
      </c>
      <c r="I53" s="2">
        <f>'платные на 2022-2023 год'!I167</f>
        <v>0</v>
      </c>
    </row>
    <row r="54" spans="1:9" ht="32.450000000000003" customHeight="1" x14ac:dyDescent="0.25">
      <c r="A54" s="320" t="s">
        <v>202</v>
      </c>
      <c r="B54" s="321"/>
      <c r="C54" s="321"/>
      <c r="D54" s="321"/>
      <c r="E54" s="321"/>
      <c r="F54" s="321"/>
      <c r="G54" s="321"/>
      <c r="H54" s="321"/>
      <c r="I54" s="322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>
        <f>'платные на 2022-2023 год'!E173</f>
        <v>0</v>
      </c>
      <c r="F59" s="2">
        <f>'платные на 2022-2023 год'!F173</f>
        <v>0</v>
      </c>
      <c r="G59" s="5">
        <f>H59+I59</f>
        <v>0</v>
      </c>
      <c r="H59" s="2">
        <f>'платные на 2022-2023 год'!H173</f>
        <v>0</v>
      </c>
      <c r="I59" s="2">
        <f>'платные на 2022-2023 год'!I173</f>
        <v>0</v>
      </c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>
        <f>'платные на 2022-2023 год'!E176</f>
        <v>0</v>
      </c>
      <c r="F62" s="2">
        <f>'платные на 2022-2023 год'!F176</f>
        <v>0</v>
      </c>
      <c r="G62" s="5">
        <f t="shared" ref="G62:G64" si="23">H62+I62</f>
        <v>0</v>
      </c>
      <c r="H62" s="2">
        <f>'платные на 2022-2023 год'!H176</f>
        <v>0</v>
      </c>
      <c r="I62" s="2">
        <f>'платные на 2022-2023 год'!I176</f>
        <v>0</v>
      </c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>
        <f>'платные на 2022-2023 год'!E177</f>
        <v>0</v>
      </c>
      <c r="F63" s="2">
        <f>'платные на 2022-2023 год'!F177</f>
        <v>0</v>
      </c>
      <c r="G63" s="5">
        <f t="shared" si="23"/>
        <v>0</v>
      </c>
      <c r="H63" s="2">
        <f>'платные на 2022-2023 год'!H177</f>
        <v>0</v>
      </c>
      <c r="I63" s="2">
        <f>'платные на 2022-2023 год'!I177</f>
        <v>0</v>
      </c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247</v>
      </c>
      <c r="C66" s="119">
        <v>223</v>
      </c>
      <c r="D66" s="5">
        <f t="shared" ref="D66:D71" si="26">E66+F66</f>
        <v>0</v>
      </c>
      <c r="E66" s="2">
        <f>'платные на 2022-2023 год'!E180</f>
        <v>0</v>
      </c>
      <c r="F66" s="2">
        <f>'платные на 2022-2023 год'!F180</f>
        <v>0</v>
      </c>
      <c r="G66" s="5">
        <f t="shared" ref="G66:G71" si="27">H66+I66</f>
        <v>0</v>
      </c>
      <c r="H66" s="2">
        <f>'платные на 2022-2023 год'!H180</f>
        <v>0</v>
      </c>
      <c r="I66" s="2">
        <f>'платные на 2022-2023 год'!I180</f>
        <v>0</v>
      </c>
    </row>
    <row r="67" spans="1:9" ht="37.5" x14ac:dyDescent="0.25">
      <c r="A67" s="115" t="s">
        <v>19</v>
      </c>
      <c r="B67" s="119">
        <v>247</v>
      </c>
      <c r="C67" s="119">
        <v>223</v>
      </c>
      <c r="D67" s="5">
        <f t="shared" si="26"/>
        <v>0</v>
      </c>
      <c r="E67" s="2">
        <f>'платные на 2022-2023 год'!E181</f>
        <v>0</v>
      </c>
      <c r="F67" s="2">
        <f>'платные на 2022-2023 год'!F181</f>
        <v>0</v>
      </c>
      <c r="G67" s="5">
        <f t="shared" si="27"/>
        <v>0</v>
      </c>
      <c r="H67" s="2">
        <f>'платные на 2022-2023 год'!H181</f>
        <v>0</v>
      </c>
      <c r="I67" s="2">
        <f>'платные на 2022-2023 год'!I181</f>
        <v>0</v>
      </c>
    </row>
    <row r="68" spans="1:9" ht="75" x14ac:dyDescent="0.25">
      <c r="A68" s="115" t="s">
        <v>20</v>
      </c>
      <c r="B68" s="119">
        <v>247</v>
      </c>
      <c r="C68" s="119">
        <v>223</v>
      </c>
      <c r="D68" s="5">
        <f t="shared" si="26"/>
        <v>0</v>
      </c>
      <c r="E68" s="2">
        <f>'платные на 2022-2023 год'!E182</f>
        <v>0</v>
      </c>
      <c r="F68" s="2">
        <f>'платные на 2022-2023 год'!F182</f>
        <v>0</v>
      </c>
      <c r="G68" s="5">
        <f t="shared" si="27"/>
        <v>0</v>
      </c>
      <c r="H68" s="2">
        <f>'платные на 2022-2023 год'!H182</f>
        <v>0</v>
      </c>
      <c r="I68" s="2">
        <f>'платные на 2022-2023 год'!I182</f>
        <v>0</v>
      </c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>
        <f>'платные на 2022-2023 год'!E183</f>
        <v>0</v>
      </c>
      <c r="F69" s="2">
        <f>'платные на 2022-2023 год'!F183</f>
        <v>0</v>
      </c>
      <c r="G69" s="5">
        <f t="shared" si="27"/>
        <v>0</v>
      </c>
      <c r="H69" s="2">
        <f>'платные на 2022-2023 год'!H183</f>
        <v>0</v>
      </c>
      <c r="I69" s="2">
        <f>'платные на 2022-2023 год'!I183</f>
        <v>0</v>
      </c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>
        <f>'платные на 2022-2023 год'!E184</f>
        <v>0</v>
      </c>
      <c r="F70" s="2">
        <f>'платные на 2022-2023 год'!F184</f>
        <v>0</v>
      </c>
      <c r="G70" s="5">
        <f t="shared" si="27"/>
        <v>0</v>
      </c>
      <c r="H70" s="2">
        <f>'платные на 2022-2023 год'!H184</f>
        <v>0</v>
      </c>
      <c r="I70" s="2">
        <f>'платные на 2022-2023 год'!I184</f>
        <v>0</v>
      </c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>
        <f>'платные на 2022-2023 год'!E185</f>
        <v>0</v>
      </c>
      <c r="F71" s="2">
        <f>'платные на 2022-2023 год'!F185</f>
        <v>0</v>
      </c>
      <c r="G71" s="5">
        <f t="shared" si="27"/>
        <v>0</v>
      </c>
      <c r="H71" s="2">
        <f>'платные на 2022-2023 год'!H185</f>
        <v>0</v>
      </c>
      <c r="I71" s="2">
        <f>'платные на 2022-2023 год'!I185</f>
        <v>0</v>
      </c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16" t="s">
        <v>6</v>
      </c>
      <c r="B73" s="119">
        <v>243</v>
      </c>
      <c r="C73" s="119">
        <v>225</v>
      </c>
      <c r="D73" s="5">
        <f t="shared" ref="D73:D83" si="31">E73+F73</f>
        <v>0</v>
      </c>
      <c r="E73" s="2">
        <f>'платные на 2022-2023 год'!E187</f>
        <v>0</v>
      </c>
      <c r="F73" s="2">
        <f>'платные на 2022-2023 год'!F187</f>
        <v>0</v>
      </c>
      <c r="G73" s="5">
        <f t="shared" ref="G73:G83" si="32">H73+I73</f>
        <v>0</v>
      </c>
      <c r="H73" s="2">
        <f>'платные на 2022-2023 год'!H187</f>
        <v>0</v>
      </c>
      <c r="I73" s="2">
        <f>'платные на 2022-2023 год'!I187</f>
        <v>0</v>
      </c>
    </row>
    <row r="74" spans="1:9" ht="18.75" x14ac:dyDescent="0.25">
      <c r="A74" s="216"/>
      <c r="B74" s="119">
        <v>244</v>
      </c>
      <c r="C74" s="119">
        <v>225</v>
      </c>
      <c r="D74" s="5">
        <f t="shared" si="31"/>
        <v>0</v>
      </c>
      <c r="E74" s="2">
        <f>'платные на 2022-2023 год'!E188</f>
        <v>0</v>
      </c>
      <c r="F74" s="2">
        <f>'платные на 2022-2023 год'!F188</f>
        <v>0</v>
      </c>
      <c r="G74" s="5">
        <f t="shared" si="32"/>
        <v>0</v>
      </c>
      <c r="H74" s="2">
        <f>'платные на 2022-2023 год'!H188</f>
        <v>0</v>
      </c>
      <c r="I74" s="2">
        <f>'платные на 2022-2023 год'!I188</f>
        <v>0</v>
      </c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16" t="s">
        <v>6</v>
      </c>
      <c r="B76" s="119">
        <v>243</v>
      </c>
      <c r="C76" s="119">
        <v>226</v>
      </c>
      <c r="D76" s="5">
        <f t="shared" si="31"/>
        <v>0</v>
      </c>
      <c r="E76" s="2">
        <f>'платные на 2022-2023 год'!E190</f>
        <v>0</v>
      </c>
      <c r="F76" s="2">
        <f>'платные на 2022-2023 год'!F190</f>
        <v>0</v>
      </c>
      <c r="G76" s="5">
        <f t="shared" si="32"/>
        <v>0</v>
      </c>
      <c r="H76" s="2">
        <f>'платные на 2022-2023 год'!H190</f>
        <v>0</v>
      </c>
      <c r="I76" s="2">
        <f>'платные на 2022-2023 год'!I190</f>
        <v>0</v>
      </c>
    </row>
    <row r="77" spans="1:9" ht="18.75" x14ac:dyDescent="0.25">
      <c r="A77" s="216"/>
      <c r="B77" s="119">
        <v>244</v>
      </c>
      <c r="C77" s="119">
        <v>226</v>
      </c>
      <c r="D77" s="5">
        <f t="shared" si="31"/>
        <v>0</v>
      </c>
      <c r="E77" s="2">
        <f>'платные на 2022-2023 год'!E191</f>
        <v>0</v>
      </c>
      <c r="F77" s="2">
        <f>'платные на 2022-2023 год'!F191</f>
        <v>0</v>
      </c>
      <c r="G77" s="5">
        <f t="shared" si="32"/>
        <v>0</v>
      </c>
      <c r="H77" s="2">
        <f>'платные на 2022-2023 год'!H191</f>
        <v>0</v>
      </c>
      <c r="I77" s="2">
        <f>'платные на 2022-2023 год'!I191</f>
        <v>0</v>
      </c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>
        <f>'платные на 2022-2023 год'!E192</f>
        <v>0</v>
      </c>
      <c r="F78" s="2">
        <f>'платные на 2022-2023 год'!F192</f>
        <v>0</v>
      </c>
      <c r="G78" s="5">
        <f t="shared" si="32"/>
        <v>0</v>
      </c>
      <c r="H78" s="2">
        <f>'платные на 2022-2023 год'!H192</f>
        <v>0</v>
      </c>
      <c r="I78" s="2">
        <f>'платные на 2022-2023 год'!I192</f>
        <v>0</v>
      </c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>
        <f>'платные на 2022-2023 год'!E196</f>
        <v>0</v>
      </c>
      <c r="F81" s="2">
        <f>'платные на 2022-2023 год'!F196</f>
        <v>0</v>
      </c>
      <c r="G81" s="5">
        <f t="shared" si="32"/>
        <v>0</v>
      </c>
      <c r="H81" s="2">
        <f>'платные на 2022-2023 год'!H196</f>
        <v>0</v>
      </c>
      <c r="I81" s="2">
        <f>'платные на 2022-2023 год'!I196</f>
        <v>0</v>
      </c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>
        <f>'платные на 2022-2023 год'!E197</f>
        <v>0</v>
      </c>
      <c r="F82" s="2">
        <f>'платные на 2022-2023 год'!F197</f>
        <v>0</v>
      </c>
      <c r="G82" s="5">
        <f t="shared" si="32"/>
        <v>0</v>
      </c>
      <c r="H82" s="2">
        <f>'платные на 2022-2023 год'!H197</f>
        <v>0</v>
      </c>
      <c r="I82" s="2">
        <f>'платные на 2022-2023 год'!I197</f>
        <v>0</v>
      </c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76.150000000000006" customHeight="1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>
        <f>'платные на 2022-2023 год'!E200</f>
        <v>0</v>
      </c>
      <c r="F85" s="2">
        <f>'платные на 2022-2023 год'!F200</f>
        <v>0</v>
      </c>
      <c r="G85" s="5">
        <f t="shared" ref="G85:G87" si="34">H85+I85</f>
        <v>0</v>
      </c>
      <c r="H85" s="2">
        <f>'платные на 2022-2023 год'!H200</f>
        <v>0</v>
      </c>
      <c r="I85" s="2">
        <f>'платные на 2022-2023 год'!I200</f>
        <v>0</v>
      </c>
    </row>
    <row r="86" spans="1:9" ht="76.150000000000006" customHeight="1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>
        <f>'платные на 2022-2023 год'!E201</f>
        <v>0</v>
      </c>
      <c r="F86" s="2">
        <f>'платные на 2022-2023 год'!F201</f>
        <v>0</v>
      </c>
      <c r="G86" s="5">
        <f t="shared" si="34"/>
        <v>0</v>
      </c>
      <c r="H86" s="2">
        <f>'платные на 2022-2023 год'!H201</f>
        <v>0</v>
      </c>
      <c r="I86" s="2">
        <f>'платные на 2022-2023 год'!I201</f>
        <v>0</v>
      </c>
    </row>
    <row r="87" spans="1:9" ht="76.150000000000006" customHeight="1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56" customHeight="1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>
        <f>'платные на 2022-2023 год'!E204</f>
        <v>0</v>
      </c>
      <c r="F89" s="2">
        <f>'платные на 2022-2023 год'!F204</f>
        <v>0</v>
      </c>
      <c r="G89" s="5">
        <f t="shared" ref="G89:G95" si="36">H89+I89</f>
        <v>0</v>
      </c>
      <c r="H89" s="2">
        <f>'платные на 2022-2023 год'!H204</f>
        <v>0</v>
      </c>
      <c r="I89" s="2">
        <f>'платные на 2022-2023 год'!I204</f>
        <v>0</v>
      </c>
    </row>
    <row r="90" spans="1:9" ht="94.9" customHeight="1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>
        <f>'платные на 2022-2023 год'!E205</f>
        <v>0</v>
      </c>
      <c r="F90" s="2">
        <f>'платные на 2022-2023 год'!F205</f>
        <v>0</v>
      </c>
      <c r="G90" s="5">
        <f t="shared" si="36"/>
        <v>0</v>
      </c>
      <c r="H90" s="2">
        <f>'платные на 2022-2023 год'!H205</f>
        <v>0</v>
      </c>
      <c r="I90" s="2">
        <f>'платные на 2022-2023 год'!I205</f>
        <v>0</v>
      </c>
    </row>
    <row r="91" spans="1:9" ht="94.9" customHeight="1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>
        <f>'платные на 2022-2023 год'!E206</f>
        <v>0</v>
      </c>
      <c r="F91" s="2">
        <f>'платные на 2022-2023 год'!F206</f>
        <v>0</v>
      </c>
      <c r="G91" s="5">
        <f t="shared" si="36"/>
        <v>0</v>
      </c>
      <c r="H91" s="2">
        <f>'платные на 2022-2023 год'!H206</f>
        <v>0</v>
      </c>
      <c r="I91" s="2">
        <f>'платные на 2022-2023 год'!I206</f>
        <v>0</v>
      </c>
    </row>
    <row r="92" spans="1:9" ht="94.9" customHeight="1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>
        <f>'платные на 2022-2023 год'!E207</f>
        <v>0</v>
      </c>
      <c r="F92" s="2">
        <f>'платные на 2022-2023 год'!F207</f>
        <v>0</v>
      </c>
      <c r="G92" s="5">
        <f t="shared" si="36"/>
        <v>0</v>
      </c>
      <c r="H92" s="2">
        <f>'платные на 2022-2023 год'!H207</f>
        <v>0</v>
      </c>
      <c r="I92" s="2">
        <f>'платные на 2022-2023 год'!I207</f>
        <v>0</v>
      </c>
    </row>
    <row r="93" spans="1:9" ht="94.9" customHeight="1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>
        <f>'платные на 2022-2023 год'!E208</f>
        <v>0</v>
      </c>
      <c r="F93" s="2">
        <f>'платные на 2022-2023 год'!F208</f>
        <v>0</v>
      </c>
      <c r="G93" s="5">
        <f t="shared" si="36"/>
        <v>0</v>
      </c>
      <c r="H93" s="2">
        <f>'платные на 2022-2023 год'!H208</f>
        <v>0</v>
      </c>
      <c r="I93" s="2">
        <f>'платные на 2022-2023 год'!I208</f>
        <v>0</v>
      </c>
    </row>
    <row r="94" spans="1:9" ht="94.9" customHeight="1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>
        <f>'платные на 2022-2023 год'!E209</f>
        <v>0</v>
      </c>
      <c r="F94" s="2">
        <f>'платные на 2022-2023 год'!F209</f>
        <v>0</v>
      </c>
      <c r="G94" s="5">
        <f t="shared" si="36"/>
        <v>0</v>
      </c>
      <c r="H94" s="2">
        <f>'платные на 2022-2023 год'!H209</f>
        <v>0</v>
      </c>
      <c r="I94" s="2">
        <f>'платные на 2022-2023 год'!I209</f>
        <v>0</v>
      </c>
    </row>
    <row r="95" spans="1:9" ht="132.6" customHeight="1" x14ac:dyDescent="0.25">
      <c r="A95" s="115" t="s">
        <v>43</v>
      </c>
      <c r="B95" s="119">
        <v>244</v>
      </c>
      <c r="C95" s="119">
        <v>349</v>
      </c>
      <c r="D95" s="5">
        <f t="shared" si="35"/>
        <v>0</v>
      </c>
      <c r="E95" s="2">
        <f>'платные на 2022-2023 год'!E211</f>
        <v>0</v>
      </c>
      <c r="F95" s="2">
        <f>'платные на 2022-2023 год'!F211</f>
        <v>0</v>
      </c>
      <c r="G95" s="5">
        <f t="shared" si="36"/>
        <v>0</v>
      </c>
      <c r="H95" s="2">
        <f>'платные на 2022-2023 год'!H211</f>
        <v>0</v>
      </c>
      <c r="I95" s="2">
        <f>'платные на 2022-2023 год'!I211</f>
        <v>0</v>
      </c>
    </row>
    <row r="96" spans="1:9" x14ac:dyDescent="0.25">
      <c r="A96" s="11"/>
    </row>
    <row r="97" spans="1:6" ht="37.5" x14ac:dyDescent="0.3">
      <c r="A97" s="29" t="s">
        <v>52</v>
      </c>
      <c r="B97" s="219"/>
      <c r="C97" s="219"/>
      <c r="D97" s="10"/>
      <c r="E97" s="219"/>
      <c r="F97" s="219"/>
    </row>
    <row r="98" spans="1:6" ht="18.75" x14ac:dyDescent="0.3">
      <c r="A98" s="29"/>
      <c r="B98" s="218" t="s">
        <v>53</v>
      </c>
      <c r="C98" s="218"/>
      <c r="D98" s="10"/>
      <c r="E98" s="218" t="s">
        <v>54</v>
      </c>
      <c r="F98" s="218"/>
    </row>
    <row r="99" spans="1:6" ht="18.75" x14ac:dyDescent="0.3">
      <c r="A99" s="29"/>
      <c r="B99" s="10"/>
      <c r="C99" s="10"/>
      <c r="D99" s="10"/>
      <c r="E99" s="10"/>
      <c r="F99" s="10"/>
    </row>
    <row r="100" spans="1:6" ht="37.5" x14ac:dyDescent="0.3">
      <c r="A100" s="29" t="s">
        <v>55</v>
      </c>
      <c r="B100" s="219"/>
      <c r="C100" s="219"/>
      <c r="D100" s="10"/>
      <c r="E100" s="219"/>
      <c r="F100" s="219"/>
    </row>
    <row r="101" spans="1:6" ht="18.75" x14ac:dyDescent="0.3">
      <c r="A101" s="29"/>
      <c r="B101" s="218" t="s">
        <v>53</v>
      </c>
      <c r="C101" s="218"/>
      <c r="D101" s="10"/>
      <c r="E101" s="218" t="s">
        <v>54</v>
      </c>
      <c r="F101" s="218"/>
    </row>
    <row r="102" spans="1:6" ht="18.75" x14ac:dyDescent="0.3">
      <c r="A102" s="29"/>
      <c r="B102" s="116"/>
      <c r="C102" s="116"/>
      <c r="D102" s="10"/>
      <c r="E102" s="116"/>
      <c r="F102" s="116"/>
    </row>
    <row r="103" spans="1:6" ht="18.75" x14ac:dyDescent="0.3">
      <c r="A103" s="29" t="s">
        <v>56</v>
      </c>
      <c r="B103" s="219"/>
      <c r="C103" s="219"/>
      <c r="D103" s="10"/>
      <c r="E103" s="219"/>
      <c r="F103" s="219"/>
    </row>
    <row r="104" spans="1:6" ht="18.75" x14ac:dyDescent="0.3">
      <c r="A104" s="29"/>
      <c r="B104" s="218" t="s">
        <v>53</v>
      </c>
      <c r="C104" s="218"/>
      <c r="D104" s="10"/>
      <c r="E104" s="218" t="s">
        <v>54</v>
      </c>
      <c r="F104" s="218"/>
    </row>
    <row r="105" spans="1:6" ht="18.75" x14ac:dyDescent="0.3">
      <c r="A105" s="29" t="s">
        <v>57</v>
      </c>
      <c r="B105" s="10"/>
      <c r="C105" s="10"/>
      <c r="D105" s="10"/>
      <c r="E105" s="10"/>
      <c r="F105" s="10"/>
    </row>
    <row r="106" spans="1:6" ht="18.75" x14ac:dyDescent="0.3">
      <c r="A106" s="217" t="s">
        <v>44</v>
      </c>
      <c r="B106" s="217"/>
      <c r="C106" s="10"/>
      <c r="D106" s="10"/>
      <c r="E106" s="10"/>
      <c r="F106" s="10"/>
    </row>
  </sheetData>
  <mergeCells count="30">
    <mergeCell ref="B104:C104"/>
    <mergeCell ref="E104:F104"/>
    <mergeCell ref="A106:B106"/>
    <mergeCell ref="B100:C100"/>
    <mergeCell ref="E100:F100"/>
    <mergeCell ref="B101:C101"/>
    <mergeCell ref="E101:F101"/>
    <mergeCell ref="B103:C103"/>
    <mergeCell ref="E103:F103"/>
    <mergeCell ref="B98:C98"/>
    <mergeCell ref="E98:F98"/>
    <mergeCell ref="H6:I6"/>
    <mergeCell ref="E6:F6"/>
    <mergeCell ref="A12:I12"/>
    <mergeCell ref="A31:A32"/>
    <mergeCell ref="A34:A35"/>
    <mergeCell ref="A54:I54"/>
    <mergeCell ref="A73:A74"/>
    <mergeCell ref="A76:A77"/>
    <mergeCell ref="B97:C97"/>
    <mergeCell ref="E97:F97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topLeftCell="A334" zoomScale="60" zoomScaleNormal="100" workbookViewId="0">
      <selection activeCell="A366" sqref="A366:XFD373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6" width="16.42578125" style="7" customWidth="1"/>
    <col min="7" max="7" width="21.285156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2"/>
      <c r="F1" s="312"/>
      <c r="G1" s="312"/>
    </row>
    <row r="2" spans="1:11" ht="40.15" customHeight="1" x14ac:dyDescent="0.25">
      <c r="A2" s="284" t="s">
        <v>257</v>
      </c>
      <c r="B2" s="284"/>
      <c r="C2" s="284"/>
      <c r="D2" s="284"/>
      <c r="E2" s="284"/>
      <c r="F2" s="284"/>
      <c r="G2" s="284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4" t="s">
        <v>181</v>
      </c>
      <c r="B4" s="284"/>
      <c r="C4" s="284"/>
      <c r="D4" s="284"/>
      <c r="E4" s="284"/>
      <c r="F4" s="284"/>
      <c r="G4" s="284"/>
    </row>
    <row r="5" spans="1:11" ht="35.450000000000003" customHeight="1" x14ac:dyDescent="0.25">
      <c r="A5" s="284" t="s">
        <v>168</v>
      </c>
      <c r="B5" s="284"/>
      <c r="C5" s="284"/>
      <c r="D5" s="284"/>
      <c r="E5" s="284"/>
      <c r="F5" s="284"/>
      <c r="G5" s="284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70" t="s">
        <v>166</v>
      </c>
      <c r="C9" s="270"/>
      <c r="D9" s="270" t="s">
        <v>167</v>
      </c>
      <c r="E9" s="270"/>
      <c r="F9" s="270" t="s">
        <v>94</v>
      </c>
      <c r="G9" s="270"/>
      <c r="H9" s="50">
        <f>'платные на 2022-2023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70">
        <v>2</v>
      </c>
      <c r="C10" s="270"/>
      <c r="D10" s="270">
        <v>3</v>
      </c>
      <c r="E10" s="270"/>
      <c r="F10" s="270">
        <v>4</v>
      </c>
      <c r="G10" s="270"/>
      <c r="H10" s="50"/>
      <c r="I10" s="50"/>
      <c r="J10" s="50"/>
      <c r="K10" s="50"/>
    </row>
    <row r="11" spans="1:11" ht="37.5" x14ac:dyDescent="0.25">
      <c r="A11" s="13" t="s">
        <v>169</v>
      </c>
      <c r="B11" s="270"/>
      <c r="C11" s="270"/>
      <c r="D11" s="270"/>
      <c r="E11" s="270"/>
      <c r="F11" s="273">
        <f>'платные на 2022 год '!D12</f>
        <v>0</v>
      </c>
      <c r="G11" s="273"/>
    </row>
    <row r="12" spans="1:11" ht="18.75" x14ac:dyDescent="0.25">
      <c r="A12" s="13" t="s">
        <v>120</v>
      </c>
      <c r="B12" s="270"/>
      <c r="C12" s="270"/>
      <c r="D12" s="270"/>
      <c r="E12" s="270"/>
      <c r="F12" s="270"/>
      <c r="G12" s="270"/>
    </row>
    <row r="13" spans="1:11" ht="18.75" x14ac:dyDescent="0.25">
      <c r="A13" s="105"/>
    </row>
    <row r="14" spans="1:11" ht="43.9" customHeight="1" x14ac:dyDescent="0.25">
      <c r="A14" s="284" t="s">
        <v>174</v>
      </c>
      <c r="B14" s="284"/>
      <c r="C14" s="284"/>
      <c r="D14" s="284"/>
      <c r="E14" s="284"/>
      <c r="F14" s="284"/>
      <c r="G14" s="284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70" t="s">
        <v>172</v>
      </c>
      <c r="C18" s="270"/>
      <c r="D18" s="270" t="s">
        <v>173</v>
      </c>
      <c r="E18" s="270"/>
      <c r="F18" s="270" t="s">
        <v>171</v>
      </c>
      <c r="G18" s="270"/>
    </row>
    <row r="19" spans="1:11" ht="18.75" x14ac:dyDescent="0.25">
      <c r="A19" s="106">
        <v>1</v>
      </c>
      <c r="B19" s="270">
        <v>2</v>
      </c>
      <c r="C19" s="270"/>
      <c r="D19" s="270">
        <v>3</v>
      </c>
      <c r="E19" s="270"/>
      <c r="F19" s="270">
        <v>4</v>
      </c>
      <c r="G19" s="270"/>
    </row>
    <row r="20" spans="1:11" ht="112.5" x14ac:dyDescent="0.25">
      <c r="A20" s="13" t="s">
        <v>170</v>
      </c>
      <c r="B20" s="270" t="s">
        <v>117</v>
      </c>
      <c r="C20" s="270"/>
      <c r="D20" s="270" t="s">
        <v>117</v>
      </c>
      <c r="E20" s="270"/>
      <c r="F20" s="273">
        <v>0</v>
      </c>
      <c r="G20" s="273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70" t="s">
        <v>172</v>
      </c>
      <c r="C24" s="270"/>
      <c r="D24" s="270" t="s">
        <v>173</v>
      </c>
      <c r="E24" s="270"/>
      <c r="F24" s="270" t="s">
        <v>94</v>
      </c>
      <c r="G24" s="270"/>
    </row>
    <row r="25" spans="1:11" ht="18.75" x14ac:dyDescent="0.25">
      <c r="A25" s="106">
        <v>1</v>
      </c>
      <c r="B25" s="270">
        <v>2</v>
      </c>
      <c r="C25" s="270"/>
      <c r="D25" s="270">
        <v>3</v>
      </c>
      <c r="E25" s="270"/>
      <c r="F25" s="270">
        <v>4</v>
      </c>
      <c r="G25" s="270"/>
    </row>
    <row r="26" spans="1:11" ht="75" x14ac:dyDescent="0.25">
      <c r="A26" s="13" t="s">
        <v>164</v>
      </c>
      <c r="B26" s="270"/>
      <c r="C26" s="270"/>
      <c r="D26" s="270"/>
      <c r="E26" s="270"/>
      <c r="F26" s="273">
        <f>'платные на 2022-2023 год'!D13</f>
        <v>0</v>
      </c>
      <c r="G26" s="273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70" t="s">
        <v>172</v>
      </c>
      <c r="C30" s="270"/>
      <c r="D30" s="270" t="s">
        <v>173</v>
      </c>
      <c r="E30" s="270"/>
      <c r="F30" s="270" t="s">
        <v>183</v>
      </c>
      <c r="G30" s="270"/>
    </row>
    <row r="31" spans="1:11" ht="18.75" x14ac:dyDescent="0.25">
      <c r="A31" s="106">
        <v>1</v>
      </c>
      <c r="B31" s="270">
        <v>2</v>
      </c>
      <c r="C31" s="270"/>
      <c r="D31" s="270">
        <v>3</v>
      </c>
      <c r="E31" s="270"/>
      <c r="F31" s="270">
        <v>4</v>
      </c>
      <c r="G31" s="270"/>
    </row>
    <row r="32" spans="1:11" ht="93.75" x14ac:dyDescent="0.25">
      <c r="A32" s="13" t="s">
        <v>271</v>
      </c>
      <c r="B32" s="270" t="s">
        <v>117</v>
      </c>
      <c r="C32" s="270"/>
      <c r="D32" s="270" t="s">
        <v>117</v>
      </c>
      <c r="E32" s="270"/>
      <c r="F32" s="273">
        <f>'платные на 2022-2023 год'!D15</f>
        <v>0</v>
      </c>
      <c r="G32" s="273"/>
    </row>
    <row r="33" spans="1:7" ht="18.75" x14ac:dyDescent="0.25">
      <c r="A33" s="105"/>
    </row>
    <row r="34" spans="1:7" ht="18.75" x14ac:dyDescent="0.25">
      <c r="A34" s="284" t="s">
        <v>176</v>
      </c>
      <c r="B34" s="284"/>
      <c r="C34" s="284"/>
      <c r="D34" s="284"/>
      <c r="E34" s="284"/>
      <c r="F34" s="284"/>
      <c r="G34" s="284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0" t="s">
        <v>86</v>
      </c>
      <c r="B38" s="277"/>
      <c r="C38" s="251"/>
      <c r="D38" s="250" t="s">
        <v>165</v>
      </c>
      <c r="E38" s="277"/>
      <c r="F38" s="277"/>
      <c r="G38" s="251"/>
    </row>
    <row r="39" spans="1:7" ht="18.75" x14ac:dyDescent="0.25">
      <c r="A39" s="250">
        <v>1</v>
      </c>
      <c r="B39" s="277"/>
      <c r="C39" s="251"/>
      <c r="D39" s="250">
        <v>3</v>
      </c>
      <c r="E39" s="277"/>
      <c r="F39" s="277"/>
      <c r="G39" s="251"/>
    </row>
    <row r="40" spans="1:7" ht="18.75" x14ac:dyDescent="0.25">
      <c r="A40" s="248" t="s">
        <v>175</v>
      </c>
      <c r="B40" s="260"/>
      <c r="C40" s="249"/>
      <c r="D40" s="244">
        <f>'платные на 2022-2023 год'!D14</f>
        <v>0</v>
      </c>
      <c r="E40" s="305"/>
      <c r="F40" s="305"/>
      <c r="G40" s="245"/>
    </row>
    <row r="41" spans="1:7" ht="18.75" x14ac:dyDescent="0.25">
      <c r="A41" s="105"/>
    </row>
    <row r="42" spans="1:7" ht="18.75" x14ac:dyDescent="0.25">
      <c r="A42" s="284" t="s">
        <v>177</v>
      </c>
      <c r="B42" s="284"/>
      <c r="C42" s="284"/>
      <c r="D42" s="284"/>
      <c r="E42" s="284"/>
      <c r="F42" s="284"/>
      <c r="G42" s="284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70" t="s">
        <v>172</v>
      </c>
      <c r="C46" s="270"/>
      <c r="D46" s="270" t="s">
        <v>173</v>
      </c>
      <c r="E46" s="270"/>
      <c r="F46" s="270" t="s">
        <v>183</v>
      </c>
      <c r="G46" s="270"/>
    </row>
    <row r="47" spans="1:7" ht="18.75" x14ac:dyDescent="0.25">
      <c r="A47" s="106">
        <v>1</v>
      </c>
      <c r="B47" s="270">
        <v>2</v>
      </c>
      <c r="C47" s="270"/>
      <c r="D47" s="270">
        <v>3</v>
      </c>
      <c r="E47" s="270"/>
      <c r="F47" s="270">
        <v>4</v>
      </c>
      <c r="G47" s="270"/>
    </row>
    <row r="48" spans="1:7" ht="37.5" x14ac:dyDescent="0.25">
      <c r="A48" s="13" t="s">
        <v>272</v>
      </c>
      <c r="B48" s="270" t="s">
        <v>117</v>
      </c>
      <c r="C48" s="270"/>
      <c r="D48" s="270" t="s">
        <v>117</v>
      </c>
      <c r="E48" s="270"/>
      <c r="F48" s="273">
        <f>'платные на 2022-2023 год'!D16</f>
        <v>0</v>
      </c>
      <c r="G48" s="273"/>
    </row>
    <row r="49" spans="1:7" ht="18.75" x14ac:dyDescent="0.25">
      <c r="A49" s="105"/>
    </row>
    <row r="50" spans="1:7" ht="18.75" x14ac:dyDescent="0.25">
      <c r="A50" s="284" t="s">
        <v>187</v>
      </c>
      <c r="B50" s="284"/>
      <c r="C50" s="284"/>
      <c r="D50" s="284"/>
      <c r="E50" s="284"/>
      <c r="F50" s="284"/>
      <c r="G50" s="284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70" t="s">
        <v>172</v>
      </c>
      <c r="C54" s="270"/>
      <c r="D54" s="270" t="s">
        <v>173</v>
      </c>
      <c r="E54" s="270"/>
      <c r="F54" s="250" t="s">
        <v>171</v>
      </c>
      <c r="G54" s="251"/>
    </row>
    <row r="55" spans="1:7" ht="18.75" x14ac:dyDescent="0.25">
      <c r="A55" s="106">
        <v>1</v>
      </c>
      <c r="B55" s="270">
        <v>2</v>
      </c>
      <c r="C55" s="270"/>
      <c r="D55" s="270">
        <v>3</v>
      </c>
      <c r="E55" s="270"/>
      <c r="F55" s="270">
        <v>4</v>
      </c>
      <c r="G55" s="270"/>
    </row>
    <row r="56" spans="1:7" ht="58.9" customHeight="1" x14ac:dyDescent="0.25">
      <c r="A56" s="13" t="s">
        <v>184</v>
      </c>
      <c r="B56" s="270" t="s">
        <v>117</v>
      </c>
      <c r="C56" s="270"/>
      <c r="D56" s="270" t="s">
        <v>117</v>
      </c>
      <c r="E56" s="270"/>
      <c r="F56" s="273">
        <v>0</v>
      </c>
      <c r="G56" s="273"/>
    </row>
    <row r="57" spans="1:7" ht="18.75" x14ac:dyDescent="0.25">
      <c r="A57" s="105"/>
    </row>
    <row r="58" spans="1:7" ht="18.75" x14ac:dyDescent="0.25">
      <c r="A58" s="284" t="s">
        <v>178</v>
      </c>
      <c r="B58" s="284"/>
      <c r="C58" s="284"/>
      <c r="D58" s="284"/>
      <c r="E58" s="284"/>
      <c r="F58" s="284"/>
      <c r="G58" s="284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70" t="s">
        <v>142</v>
      </c>
      <c r="C62" s="270"/>
      <c r="D62" s="270" t="s">
        <v>182</v>
      </c>
      <c r="E62" s="270"/>
      <c r="F62" s="270" t="s">
        <v>94</v>
      </c>
      <c r="G62" s="270"/>
    </row>
    <row r="63" spans="1:7" ht="18.75" x14ac:dyDescent="0.25">
      <c r="A63" s="106">
        <v>1</v>
      </c>
      <c r="B63" s="270">
        <v>2</v>
      </c>
      <c r="C63" s="270"/>
      <c r="D63" s="270">
        <v>3</v>
      </c>
      <c r="E63" s="270"/>
      <c r="F63" s="270">
        <v>4</v>
      </c>
      <c r="G63" s="270"/>
    </row>
    <row r="64" spans="1:7" ht="56.25" x14ac:dyDescent="0.25">
      <c r="A64" s="13" t="s">
        <v>179</v>
      </c>
      <c r="B64" s="270" t="s">
        <v>117</v>
      </c>
      <c r="C64" s="270"/>
      <c r="D64" s="270" t="s">
        <v>117</v>
      </c>
      <c r="E64" s="270"/>
      <c r="F64" s="273">
        <f>'платные на 2022-2023 год'!D19</f>
        <v>0</v>
      </c>
      <c r="G64" s="273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70" t="s">
        <v>142</v>
      </c>
      <c r="C68" s="270"/>
      <c r="D68" s="270" t="s">
        <v>182</v>
      </c>
      <c r="E68" s="270"/>
      <c r="F68" s="270" t="s">
        <v>94</v>
      </c>
      <c r="G68" s="270"/>
    </row>
    <row r="69" spans="1:7" ht="18.75" x14ac:dyDescent="0.25">
      <c r="A69" s="106">
        <v>1</v>
      </c>
      <c r="B69" s="270">
        <v>2</v>
      </c>
      <c r="C69" s="270"/>
      <c r="D69" s="270">
        <v>3</v>
      </c>
      <c r="E69" s="270"/>
      <c r="F69" s="270">
        <v>4</v>
      </c>
      <c r="G69" s="270"/>
    </row>
    <row r="70" spans="1:7" ht="56.25" x14ac:dyDescent="0.25">
      <c r="A70" s="13" t="s">
        <v>179</v>
      </c>
      <c r="B70" s="270" t="s">
        <v>117</v>
      </c>
      <c r="C70" s="270"/>
      <c r="D70" s="270" t="s">
        <v>117</v>
      </c>
      <c r="E70" s="270"/>
      <c r="F70" s="273">
        <f>'платные на 2022-2023 год'!D20</f>
        <v>0</v>
      </c>
      <c r="G70" s="273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4" t="s">
        <v>254</v>
      </c>
      <c r="B72" s="284"/>
      <c r="C72" s="284"/>
      <c r="D72" s="284"/>
      <c r="E72" s="284"/>
      <c r="F72" s="284"/>
      <c r="G72" s="284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70" t="s">
        <v>142</v>
      </c>
      <c r="C76" s="270"/>
      <c r="D76" s="270" t="s">
        <v>182</v>
      </c>
      <c r="E76" s="270"/>
      <c r="F76" s="270" t="s">
        <v>94</v>
      </c>
      <c r="G76" s="270"/>
    </row>
    <row r="77" spans="1:7" ht="18.75" x14ac:dyDescent="0.25">
      <c r="A77" s="106">
        <v>1</v>
      </c>
      <c r="B77" s="270">
        <v>2</v>
      </c>
      <c r="C77" s="270"/>
      <c r="D77" s="270">
        <v>3</v>
      </c>
      <c r="E77" s="270"/>
      <c r="F77" s="270">
        <v>4</v>
      </c>
      <c r="G77" s="270"/>
    </row>
    <row r="78" spans="1:7" ht="150" x14ac:dyDescent="0.25">
      <c r="A78" s="13" t="s">
        <v>70</v>
      </c>
      <c r="B78" s="270" t="s">
        <v>117</v>
      </c>
      <c r="C78" s="270"/>
      <c r="D78" s="270" t="s">
        <v>117</v>
      </c>
      <c r="E78" s="270"/>
      <c r="F78" s="273">
        <f>'платные на 2022-2023 год'!D23</f>
        <v>0</v>
      </c>
      <c r="G78" s="273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70" t="s">
        <v>142</v>
      </c>
      <c r="C82" s="270"/>
      <c r="D82" s="270" t="s">
        <v>182</v>
      </c>
      <c r="E82" s="270"/>
      <c r="F82" s="270" t="s">
        <v>94</v>
      </c>
      <c r="G82" s="270"/>
    </row>
    <row r="83" spans="1:7" ht="18.75" x14ac:dyDescent="0.25">
      <c r="A83" s="106">
        <v>1</v>
      </c>
      <c r="B83" s="270">
        <v>2</v>
      </c>
      <c r="C83" s="270"/>
      <c r="D83" s="270">
        <v>3</v>
      </c>
      <c r="E83" s="270"/>
      <c r="F83" s="270">
        <v>4</v>
      </c>
      <c r="G83" s="270"/>
    </row>
    <row r="84" spans="1:7" ht="187.5" x14ac:dyDescent="0.25">
      <c r="A84" s="13" t="s">
        <v>273</v>
      </c>
      <c r="B84" s="270" t="s">
        <v>117</v>
      </c>
      <c r="C84" s="270"/>
      <c r="D84" s="270" t="s">
        <v>117</v>
      </c>
      <c r="E84" s="270"/>
      <c r="F84" s="273">
        <f>'платные на 2022-2023 год'!D24</f>
        <v>0</v>
      </c>
      <c r="G84" s="273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4" t="s">
        <v>260</v>
      </c>
      <c r="B86" s="284"/>
      <c r="C86" s="284"/>
      <c r="D86" s="284"/>
      <c r="E86" s="284"/>
      <c r="F86" s="284"/>
      <c r="G86" s="284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70" t="s">
        <v>142</v>
      </c>
      <c r="C90" s="270"/>
      <c r="D90" s="270" t="s">
        <v>182</v>
      </c>
      <c r="E90" s="270"/>
      <c r="F90" s="270" t="s">
        <v>94</v>
      </c>
      <c r="G90" s="270"/>
    </row>
    <row r="91" spans="1:7" ht="18.75" x14ac:dyDescent="0.25">
      <c r="A91" s="106">
        <v>1</v>
      </c>
      <c r="B91" s="270">
        <v>2</v>
      </c>
      <c r="C91" s="270"/>
      <c r="D91" s="270">
        <v>3</v>
      </c>
      <c r="E91" s="270"/>
      <c r="F91" s="270">
        <v>4</v>
      </c>
      <c r="G91" s="270"/>
    </row>
    <row r="92" spans="1:7" ht="37.5" x14ac:dyDescent="0.25">
      <c r="A92" s="103" t="s">
        <v>194</v>
      </c>
      <c r="B92" s="250" t="s">
        <v>117</v>
      </c>
      <c r="C92" s="251"/>
      <c r="D92" s="250" t="s">
        <v>117</v>
      </c>
      <c r="E92" s="251"/>
      <c r="F92" s="273">
        <f>'платные на 2022-2023 год'!D105</f>
        <v>0</v>
      </c>
      <c r="G92" s="270"/>
    </row>
    <row r="93" spans="1:7" ht="56.25" x14ac:dyDescent="0.25">
      <c r="A93" s="103" t="s">
        <v>195</v>
      </c>
      <c r="B93" s="250" t="s">
        <v>117</v>
      </c>
      <c r="C93" s="251"/>
      <c r="D93" s="250" t="s">
        <v>117</v>
      </c>
      <c r="E93" s="251"/>
      <c r="F93" s="273">
        <f>'платные на 2022-2023 год'!D106</f>
        <v>0</v>
      </c>
      <c r="G93" s="270"/>
    </row>
    <row r="94" spans="1:7" ht="57" thickBot="1" x14ac:dyDescent="0.3">
      <c r="A94" s="32" t="s">
        <v>196</v>
      </c>
      <c r="B94" s="250" t="s">
        <v>117</v>
      </c>
      <c r="C94" s="251"/>
      <c r="D94" s="250" t="s">
        <v>117</v>
      </c>
      <c r="E94" s="251"/>
      <c r="F94" s="273">
        <f>'платные на 2022-2023 год'!D107</f>
        <v>0</v>
      </c>
      <c r="G94" s="270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4" t="s">
        <v>188</v>
      </c>
      <c r="B96" s="284"/>
      <c r="C96" s="284"/>
      <c r="D96" s="284"/>
      <c r="E96" s="284"/>
      <c r="F96" s="284"/>
      <c r="G96" s="284"/>
    </row>
    <row r="97" spans="1:7" ht="18.75" x14ac:dyDescent="0.25">
      <c r="A97" s="8"/>
    </row>
    <row r="98" spans="1:7" ht="18.75" x14ac:dyDescent="0.25">
      <c r="A98" s="269" t="s">
        <v>189</v>
      </c>
      <c r="B98" s="269"/>
      <c r="C98" s="269"/>
      <c r="D98" s="269"/>
      <c r="E98" s="269"/>
      <c r="F98" s="269"/>
      <c r="G98" s="269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0" t="s">
        <v>76</v>
      </c>
      <c r="B102" s="270" t="s">
        <v>77</v>
      </c>
      <c r="C102" s="270" t="s">
        <v>78</v>
      </c>
      <c r="D102" s="270"/>
      <c r="E102" s="270"/>
      <c r="F102" s="270"/>
      <c r="G102" s="270" t="s">
        <v>79</v>
      </c>
    </row>
    <row r="103" spans="1:7" ht="18.75" x14ac:dyDescent="0.25">
      <c r="A103" s="270"/>
      <c r="B103" s="270"/>
      <c r="C103" s="270" t="s">
        <v>80</v>
      </c>
      <c r="D103" s="270" t="s">
        <v>6</v>
      </c>
      <c r="E103" s="270"/>
      <c r="F103" s="270"/>
      <c r="G103" s="270"/>
    </row>
    <row r="104" spans="1:7" ht="75" x14ac:dyDescent="0.25">
      <c r="A104" s="270"/>
      <c r="B104" s="270"/>
      <c r="C104" s="270"/>
      <c r="D104" s="12" t="s">
        <v>81</v>
      </c>
      <c r="E104" s="12" t="s">
        <v>82</v>
      </c>
      <c r="F104" s="12" t="s">
        <v>83</v>
      </c>
      <c r="G104" s="270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2022-2023 год'!D31+'платные на 2022-2023 год'!D66</f>
        <v>0</v>
      </c>
    </row>
    <row r="108" spans="1:7" ht="18.75" x14ac:dyDescent="0.25">
      <c r="A108" s="8"/>
    </row>
    <row r="109" spans="1:7" ht="18.75" x14ac:dyDescent="0.25">
      <c r="A109" s="269" t="s">
        <v>180</v>
      </c>
      <c r="B109" s="269"/>
      <c r="C109" s="269"/>
      <c r="D109" s="269"/>
      <c r="E109" s="269"/>
      <c r="F109" s="269"/>
      <c r="G109" s="269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70" t="s">
        <v>84</v>
      </c>
      <c r="B113" s="270" t="s">
        <v>244</v>
      </c>
      <c r="C113" s="270"/>
      <c r="D113" s="270" t="s">
        <v>185</v>
      </c>
      <c r="E113" s="270"/>
      <c r="F113" s="270" t="s">
        <v>85</v>
      </c>
      <c r="G113" s="270"/>
    </row>
    <row r="114" spans="1:7" ht="15" customHeight="1" x14ac:dyDescent="0.25">
      <c r="A114" s="270"/>
      <c r="B114" s="270"/>
      <c r="C114" s="270"/>
      <c r="D114" s="270"/>
      <c r="E114" s="270"/>
      <c r="F114" s="270"/>
      <c r="G114" s="270"/>
    </row>
    <row r="115" spans="1:7" ht="18.75" x14ac:dyDescent="0.25">
      <c r="A115" s="106">
        <v>1</v>
      </c>
      <c r="B115" s="270">
        <v>2</v>
      </c>
      <c r="C115" s="270"/>
      <c r="D115" s="270">
        <v>3</v>
      </c>
      <c r="E115" s="270"/>
      <c r="F115" s="270">
        <v>4</v>
      </c>
      <c r="G115" s="270"/>
    </row>
    <row r="116" spans="1:7" ht="18.75" x14ac:dyDescent="0.25">
      <c r="A116" s="13"/>
      <c r="B116" s="273">
        <f>'платные на 2022-2023 год'!D31+'платные на 2022-2023 год'!D33+'платные на 2022-2023 год'!D66</f>
        <v>0</v>
      </c>
      <c r="C116" s="273"/>
      <c r="D116" s="273">
        <f>G107</f>
        <v>0</v>
      </c>
      <c r="E116" s="273"/>
      <c r="F116" s="273">
        <f>B116-D116</f>
        <v>0</v>
      </c>
      <c r="G116" s="273"/>
    </row>
    <row r="117" spans="1:7" ht="18.75" x14ac:dyDescent="0.25">
      <c r="A117" s="8"/>
    </row>
    <row r="118" spans="1:7" ht="51" customHeight="1" x14ac:dyDescent="0.25">
      <c r="A118" s="271" t="s">
        <v>203</v>
      </c>
      <c r="B118" s="271"/>
      <c r="C118" s="271"/>
      <c r="D118" s="271"/>
      <c r="E118" s="271"/>
      <c r="F118" s="271"/>
      <c r="G118" s="271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70" t="s">
        <v>88</v>
      </c>
      <c r="D122" s="270"/>
      <c r="E122" s="106" t="s">
        <v>89</v>
      </c>
      <c r="F122" s="270" t="s">
        <v>90</v>
      </c>
      <c r="G122" s="270"/>
    </row>
    <row r="123" spans="1:7" ht="18.75" x14ac:dyDescent="0.25">
      <c r="A123" s="106">
        <v>1</v>
      </c>
      <c r="B123" s="106">
        <v>2</v>
      </c>
      <c r="C123" s="270">
        <v>3</v>
      </c>
      <c r="D123" s="270"/>
      <c r="E123" s="106">
        <v>4</v>
      </c>
      <c r="F123" s="270">
        <v>5</v>
      </c>
      <c r="G123" s="270"/>
    </row>
    <row r="124" spans="1:7" ht="18.75" x14ac:dyDescent="0.25">
      <c r="A124" s="13" t="s">
        <v>91</v>
      </c>
      <c r="B124" s="109"/>
      <c r="C124" s="270"/>
      <c r="D124" s="270"/>
      <c r="E124" s="14"/>
      <c r="F124" s="273">
        <f>'платные на 2022-2023 год'!D32</f>
        <v>0</v>
      </c>
      <c r="G124" s="273"/>
    </row>
    <row r="125" spans="1:7" ht="18.75" x14ac:dyDescent="0.25">
      <c r="A125" s="8"/>
    </row>
    <row r="126" spans="1:7" ht="33" customHeight="1" x14ac:dyDescent="0.25">
      <c r="A126" s="271" t="s">
        <v>227</v>
      </c>
      <c r="B126" s="271"/>
      <c r="C126" s="271"/>
      <c r="D126" s="271"/>
      <c r="E126" s="271"/>
      <c r="F126" s="271"/>
      <c r="G126" s="271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0" t="s">
        <v>229</v>
      </c>
      <c r="D130" s="277"/>
      <c r="E130" s="251"/>
      <c r="F130" s="270" t="s">
        <v>94</v>
      </c>
      <c r="G130" s="270"/>
    </row>
    <row r="131" spans="1:7" ht="18.75" x14ac:dyDescent="0.25">
      <c r="A131" s="106">
        <v>1</v>
      </c>
      <c r="B131" s="106">
        <v>2</v>
      </c>
      <c r="C131" s="250">
        <v>3</v>
      </c>
      <c r="D131" s="277"/>
      <c r="E131" s="251"/>
      <c r="F131" s="270">
        <v>4</v>
      </c>
      <c r="G131" s="270"/>
    </row>
    <row r="132" spans="1:7" ht="18.75" x14ac:dyDescent="0.25">
      <c r="A132" s="13"/>
      <c r="B132" s="109"/>
      <c r="C132" s="250"/>
      <c r="D132" s="277"/>
      <c r="E132" s="251"/>
      <c r="F132" s="273">
        <f>'платные на 2022-2023 год'!D35</f>
        <v>0</v>
      </c>
      <c r="G132" s="273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71" t="s">
        <v>204</v>
      </c>
      <c r="B134" s="271"/>
      <c r="C134" s="271"/>
      <c r="D134" s="271"/>
      <c r="E134" s="271"/>
      <c r="F134" s="271"/>
      <c r="G134" s="271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70" t="s">
        <v>86</v>
      </c>
      <c r="B138" s="270"/>
      <c r="C138" s="106" t="s">
        <v>92</v>
      </c>
      <c r="D138" s="270" t="s">
        <v>93</v>
      </c>
      <c r="E138" s="270"/>
      <c r="F138" s="270" t="s">
        <v>94</v>
      </c>
      <c r="G138" s="270"/>
    </row>
    <row r="139" spans="1:7" ht="18.75" x14ac:dyDescent="0.25">
      <c r="A139" s="250">
        <v>1</v>
      </c>
      <c r="B139" s="251"/>
      <c r="C139" s="106">
        <v>2</v>
      </c>
      <c r="D139" s="250">
        <v>3</v>
      </c>
      <c r="E139" s="251"/>
      <c r="F139" s="250">
        <v>4</v>
      </c>
      <c r="G139" s="251"/>
    </row>
    <row r="140" spans="1:7" ht="18.75" x14ac:dyDescent="0.25">
      <c r="A140" s="250"/>
      <c r="B140" s="251"/>
      <c r="C140" s="106"/>
      <c r="D140" s="250"/>
      <c r="E140" s="251"/>
      <c r="F140" s="244">
        <f>'платные на 2022-2023 год'!D41</f>
        <v>0</v>
      </c>
      <c r="G140" s="245"/>
    </row>
    <row r="141" spans="1:7" ht="18.75" x14ac:dyDescent="0.25">
      <c r="A141" s="8"/>
    </row>
    <row r="142" spans="1:7" ht="36.6" customHeight="1" x14ac:dyDescent="0.25">
      <c r="A142" s="271" t="s">
        <v>205</v>
      </c>
      <c r="B142" s="271"/>
      <c r="C142" s="271"/>
      <c r="D142" s="271"/>
      <c r="E142" s="271"/>
      <c r="F142" s="271"/>
      <c r="G142" s="271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70" t="s">
        <v>88</v>
      </c>
      <c r="D146" s="270"/>
      <c r="E146" s="106" t="s">
        <v>89</v>
      </c>
      <c r="F146" s="270" t="s">
        <v>90</v>
      </c>
      <c r="G146" s="270"/>
    </row>
    <row r="147" spans="1:7" ht="18.75" x14ac:dyDescent="0.25">
      <c r="A147" s="106">
        <v>1</v>
      </c>
      <c r="B147" s="106">
        <v>2</v>
      </c>
      <c r="C147" s="270">
        <v>3</v>
      </c>
      <c r="D147" s="270"/>
      <c r="E147" s="106">
        <v>4</v>
      </c>
      <c r="F147" s="270">
        <v>5</v>
      </c>
      <c r="G147" s="270"/>
    </row>
    <row r="148" spans="1:7" ht="37.5" x14ac:dyDescent="0.25">
      <c r="A148" s="13" t="s">
        <v>95</v>
      </c>
      <c r="B148" s="109"/>
      <c r="C148" s="270"/>
      <c r="D148" s="270"/>
      <c r="E148" s="14"/>
      <c r="F148" s="273">
        <f>'платные на 2022-2023 год'!D55</f>
        <v>0</v>
      </c>
      <c r="G148" s="273"/>
    </row>
    <row r="149" spans="1:7" ht="18.75" x14ac:dyDescent="0.25">
      <c r="A149" s="8"/>
    </row>
    <row r="150" spans="1:7" ht="41.45" customHeight="1" x14ac:dyDescent="0.25">
      <c r="A150" s="271" t="s">
        <v>206</v>
      </c>
      <c r="B150" s="271"/>
      <c r="C150" s="271"/>
      <c r="D150" s="271"/>
      <c r="E150" s="271"/>
      <c r="F150" s="271"/>
      <c r="G150" s="271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70" t="s">
        <v>97</v>
      </c>
      <c r="D154" s="270"/>
      <c r="E154" s="106" t="s">
        <v>89</v>
      </c>
      <c r="F154" s="270" t="s">
        <v>90</v>
      </c>
      <c r="G154" s="270"/>
    </row>
    <row r="155" spans="1:7" ht="18.75" x14ac:dyDescent="0.3">
      <c r="A155" s="106">
        <v>1</v>
      </c>
      <c r="B155" s="106">
        <v>2</v>
      </c>
      <c r="C155" s="270">
        <v>3</v>
      </c>
      <c r="D155" s="270"/>
      <c r="E155" s="106">
        <v>4</v>
      </c>
      <c r="F155" s="258">
        <v>5</v>
      </c>
      <c r="G155" s="259"/>
    </row>
    <row r="156" spans="1:7" ht="93.75" x14ac:dyDescent="0.25">
      <c r="A156" s="13" t="s">
        <v>98</v>
      </c>
      <c r="B156" s="107"/>
      <c r="C156" s="273"/>
      <c r="D156" s="273"/>
      <c r="E156" s="79"/>
      <c r="F156" s="294">
        <f>'платные на 2022-2023 год'!D56</f>
        <v>0</v>
      </c>
      <c r="G156" s="295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70" t="s">
        <v>97</v>
      </c>
      <c r="D160" s="270"/>
      <c r="E160" s="106" t="s">
        <v>89</v>
      </c>
      <c r="F160" s="270" t="s">
        <v>90</v>
      </c>
      <c r="G160" s="270"/>
    </row>
    <row r="161" spans="1:7" ht="18.75" x14ac:dyDescent="0.3">
      <c r="A161" s="106">
        <v>1</v>
      </c>
      <c r="B161" s="106">
        <v>2</v>
      </c>
      <c r="C161" s="270">
        <v>3</v>
      </c>
      <c r="D161" s="270"/>
      <c r="E161" s="106">
        <v>4</v>
      </c>
      <c r="F161" s="258">
        <v>5</v>
      </c>
      <c r="G161" s="259"/>
    </row>
    <row r="162" spans="1:7" ht="75" x14ac:dyDescent="0.25">
      <c r="A162" s="13" t="s">
        <v>157</v>
      </c>
      <c r="B162" s="107"/>
      <c r="C162" s="273"/>
      <c r="D162" s="273"/>
      <c r="E162" s="79"/>
      <c r="F162" s="294">
        <f>'платные на 2022-2023 год'!D57</f>
        <v>0</v>
      </c>
      <c r="G162" s="295"/>
    </row>
    <row r="163" spans="1:7" ht="18.75" x14ac:dyDescent="0.25">
      <c r="A163" s="13" t="s">
        <v>120</v>
      </c>
      <c r="B163" s="109"/>
      <c r="C163" s="250"/>
      <c r="D163" s="251"/>
      <c r="E163" s="14"/>
      <c r="F163" s="331"/>
      <c r="G163" s="333"/>
    </row>
    <row r="164" spans="1:7" ht="18.75" x14ac:dyDescent="0.25">
      <c r="A164" s="8"/>
    </row>
    <row r="165" spans="1:7" ht="36" customHeight="1" x14ac:dyDescent="0.25">
      <c r="A165" s="271" t="s">
        <v>207</v>
      </c>
      <c r="B165" s="271"/>
      <c r="C165" s="271"/>
      <c r="D165" s="271"/>
      <c r="E165" s="271"/>
      <c r="F165" s="271"/>
      <c r="G165" s="271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70" t="s">
        <v>99</v>
      </c>
      <c r="C169" s="270"/>
      <c r="D169" s="270" t="s">
        <v>100</v>
      </c>
      <c r="E169" s="270"/>
      <c r="F169" s="270" t="s">
        <v>101</v>
      </c>
      <c r="G169" s="270"/>
    </row>
    <row r="170" spans="1:7" ht="18.75" x14ac:dyDescent="0.3">
      <c r="A170" s="106">
        <v>1</v>
      </c>
      <c r="B170" s="250">
        <v>2</v>
      </c>
      <c r="C170" s="251"/>
      <c r="D170" s="250">
        <v>3</v>
      </c>
      <c r="E170" s="251"/>
      <c r="F170" s="258">
        <v>4</v>
      </c>
      <c r="G170" s="259"/>
    </row>
    <row r="171" spans="1:7" ht="93.75" x14ac:dyDescent="0.25">
      <c r="A171" s="13" t="s">
        <v>102</v>
      </c>
      <c r="B171" s="250"/>
      <c r="C171" s="251"/>
      <c r="D171" s="250"/>
      <c r="E171" s="251"/>
      <c r="F171" s="294">
        <f>'платные на 2022-2023 год'!D66</f>
        <v>0</v>
      </c>
      <c r="G171" s="295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70" t="s">
        <v>104</v>
      </c>
      <c r="E175" s="270"/>
      <c r="F175" s="270" t="s">
        <v>90</v>
      </c>
      <c r="G175" s="270"/>
    </row>
    <row r="176" spans="1:7" ht="18.75" x14ac:dyDescent="0.25">
      <c r="A176" s="106">
        <v>1</v>
      </c>
      <c r="B176" s="106">
        <v>2</v>
      </c>
      <c r="C176" s="106">
        <v>3</v>
      </c>
      <c r="D176" s="270">
        <v>4</v>
      </c>
      <c r="E176" s="270"/>
      <c r="F176" s="270">
        <v>5</v>
      </c>
      <c r="G176" s="270"/>
    </row>
    <row r="177" spans="1:7" ht="56.25" x14ac:dyDescent="0.25">
      <c r="A177" s="13" t="s">
        <v>105</v>
      </c>
      <c r="B177" s="109"/>
      <c r="C177" s="106"/>
      <c r="D177" s="250"/>
      <c r="E177" s="251"/>
      <c r="F177" s="244">
        <f>'платные на 2022-2023 год'!D68</f>
        <v>0</v>
      </c>
      <c r="G177" s="245"/>
    </row>
    <row r="178" spans="1:7" ht="18.75" x14ac:dyDescent="0.25">
      <c r="A178" s="8"/>
    </row>
    <row r="179" spans="1:7" ht="31.9" customHeight="1" x14ac:dyDescent="0.25">
      <c r="A179" s="269" t="s">
        <v>208</v>
      </c>
      <c r="B179" s="269"/>
      <c r="C179" s="269"/>
      <c r="D179" s="269"/>
      <c r="E179" s="269"/>
      <c r="F179" s="269"/>
      <c r="G179" s="269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70" t="s">
        <v>106</v>
      </c>
      <c r="C183" s="270"/>
      <c r="D183" s="270" t="s">
        <v>107</v>
      </c>
      <c r="E183" s="270"/>
      <c r="F183" s="270" t="s">
        <v>108</v>
      </c>
      <c r="G183" s="270"/>
    </row>
    <row r="184" spans="1:7" ht="18.75" x14ac:dyDescent="0.25">
      <c r="A184" s="106">
        <v>1</v>
      </c>
      <c r="B184" s="250">
        <v>2</v>
      </c>
      <c r="C184" s="251"/>
      <c r="D184" s="250">
        <v>3</v>
      </c>
      <c r="E184" s="251"/>
      <c r="F184" s="250">
        <v>4</v>
      </c>
      <c r="G184" s="251"/>
    </row>
    <row r="185" spans="1:7" ht="131.25" x14ac:dyDescent="0.25">
      <c r="A185" s="13" t="s">
        <v>27</v>
      </c>
      <c r="B185" s="270"/>
      <c r="C185" s="270"/>
      <c r="D185" s="270"/>
      <c r="E185" s="270"/>
      <c r="F185" s="273">
        <f>'платные на 2022-2023 год'!D63</f>
        <v>0</v>
      </c>
      <c r="G185" s="273"/>
    </row>
    <row r="186" spans="1:7" ht="18.75" x14ac:dyDescent="0.25">
      <c r="A186" s="13" t="s">
        <v>156</v>
      </c>
      <c r="B186" s="270"/>
      <c r="C186" s="270"/>
      <c r="D186" s="270"/>
      <c r="E186" s="270"/>
      <c r="F186" s="273"/>
      <c r="G186" s="273"/>
    </row>
    <row r="187" spans="1:7" ht="18.75" x14ac:dyDescent="0.25">
      <c r="A187" s="8"/>
    </row>
    <row r="188" spans="1:7" ht="34.9" customHeight="1" x14ac:dyDescent="0.25">
      <c r="A188" s="271" t="s">
        <v>226</v>
      </c>
      <c r="B188" s="271"/>
      <c r="C188" s="271"/>
      <c r="D188" s="271"/>
      <c r="E188" s="271"/>
      <c r="F188" s="271"/>
      <c r="G188" s="271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70" t="s">
        <v>109</v>
      </c>
      <c r="C191" s="270"/>
      <c r="D191" s="270" t="s">
        <v>110</v>
      </c>
      <c r="E191" s="270"/>
      <c r="F191" s="270" t="s">
        <v>111</v>
      </c>
      <c r="G191" s="270"/>
    </row>
    <row r="192" spans="1:7" ht="18.75" x14ac:dyDescent="0.25">
      <c r="A192" s="106">
        <v>1</v>
      </c>
      <c r="B192" s="250">
        <v>2</v>
      </c>
      <c r="C192" s="251"/>
      <c r="D192" s="278">
        <v>3</v>
      </c>
      <c r="E192" s="279"/>
      <c r="F192" s="278">
        <v>4</v>
      </c>
      <c r="G192" s="279"/>
    </row>
    <row r="193" spans="1:7" ht="37.5" x14ac:dyDescent="0.25">
      <c r="A193" s="13" t="s">
        <v>112</v>
      </c>
      <c r="B193" s="278"/>
      <c r="C193" s="279"/>
      <c r="D193" s="278"/>
      <c r="E193" s="279"/>
      <c r="F193" s="337">
        <f>'платные на 2022-2023 год'!D72</f>
        <v>0</v>
      </c>
      <c r="G193" s="338"/>
    </row>
    <row r="194" spans="1:7" ht="37.5" x14ac:dyDescent="0.25">
      <c r="A194" s="13" t="s">
        <v>113</v>
      </c>
      <c r="B194" s="278"/>
      <c r="C194" s="279"/>
      <c r="D194" s="278"/>
      <c r="E194" s="279"/>
      <c r="F194" s="339"/>
      <c r="G194" s="340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70" t="s">
        <v>109</v>
      </c>
      <c r="C198" s="270"/>
      <c r="D198" s="270" t="s">
        <v>110</v>
      </c>
      <c r="E198" s="270"/>
      <c r="F198" s="270" t="s">
        <v>115</v>
      </c>
      <c r="G198" s="270"/>
    </row>
    <row r="199" spans="1:7" ht="18.75" x14ac:dyDescent="0.3">
      <c r="A199" s="106">
        <v>1</v>
      </c>
      <c r="B199" s="250">
        <v>2</v>
      </c>
      <c r="C199" s="251"/>
      <c r="D199" s="250">
        <v>3</v>
      </c>
      <c r="E199" s="251"/>
      <c r="F199" s="258">
        <v>4</v>
      </c>
      <c r="G199" s="259"/>
    </row>
    <row r="200" spans="1:7" ht="39" customHeight="1" x14ac:dyDescent="0.25">
      <c r="A200" s="13" t="s">
        <v>116</v>
      </c>
      <c r="B200" s="250" t="s">
        <v>117</v>
      </c>
      <c r="C200" s="251"/>
      <c r="D200" s="250" t="s">
        <v>117</v>
      </c>
      <c r="E200" s="251"/>
      <c r="F200" s="294">
        <f>'платные на 2022-2023 год'!D73</f>
        <v>0</v>
      </c>
      <c r="G200" s="296"/>
    </row>
    <row r="201" spans="1:7" ht="18.75" x14ac:dyDescent="0.25">
      <c r="A201" s="13" t="s">
        <v>118</v>
      </c>
      <c r="B201" s="278"/>
      <c r="C201" s="279"/>
      <c r="D201" s="278"/>
      <c r="E201" s="279"/>
      <c r="F201" s="278"/>
      <c r="G201" s="279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70" t="s">
        <v>109</v>
      </c>
      <c r="C205" s="270"/>
      <c r="D205" s="270" t="s">
        <v>110</v>
      </c>
      <c r="E205" s="270"/>
      <c r="F205" s="270" t="s">
        <v>115</v>
      </c>
      <c r="G205" s="270"/>
    </row>
    <row r="206" spans="1:7" ht="18.75" x14ac:dyDescent="0.3">
      <c r="A206" s="106">
        <v>1</v>
      </c>
      <c r="B206" s="250">
        <v>2</v>
      </c>
      <c r="C206" s="251"/>
      <c r="D206" s="250">
        <v>3</v>
      </c>
      <c r="E206" s="251"/>
      <c r="F206" s="258">
        <v>4</v>
      </c>
      <c r="G206" s="259"/>
    </row>
    <row r="207" spans="1:7" ht="49.15" customHeight="1" x14ac:dyDescent="0.25">
      <c r="A207" s="13" t="s">
        <v>155</v>
      </c>
      <c r="B207" s="250" t="s">
        <v>117</v>
      </c>
      <c r="C207" s="251"/>
      <c r="D207" s="250" t="s">
        <v>117</v>
      </c>
      <c r="E207" s="251"/>
      <c r="F207" s="294">
        <f>'платные на 2022-2023 год'!D74</f>
        <v>0</v>
      </c>
      <c r="G207" s="295"/>
    </row>
    <row r="208" spans="1:7" ht="15" customHeight="1" x14ac:dyDescent="0.25">
      <c r="A208" s="13" t="s">
        <v>118</v>
      </c>
      <c r="B208" s="278"/>
      <c r="C208" s="279"/>
      <c r="D208" s="278"/>
      <c r="E208" s="279"/>
      <c r="F208" s="329"/>
      <c r="G208" s="330"/>
    </row>
    <row r="209" spans="1:7" ht="18.75" x14ac:dyDescent="0.25">
      <c r="A209" s="8"/>
    </row>
    <row r="210" spans="1:7" ht="45" customHeight="1" x14ac:dyDescent="0.25">
      <c r="A210" s="271" t="s">
        <v>209</v>
      </c>
      <c r="B210" s="271"/>
      <c r="C210" s="271"/>
      <c r="D210" s="271"/>
      <c r="E210" s="271"/>
      <c r="F210" s="271"/>
      <c r="G210" s="271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70" t="s">
        <v>106</v>
      </c>
      <c r="C214" s="270"/>
      <c r="D214" s="270" t="s">
        <v>107</v>
      </c>
      <c r="E214" s="270"/>
      <c r="F214" s="270" t="s">
        <v>108</v>
      </c>
      <c r="G214" s="270"/>
    </row>
    <row r="215" spans="1:7" ht="18.75" x14ac:dyDescent="0.25">
      <c r="A215" s="106">
        <v>1</v>
      </c>
      <c r="B215" s="270">
        <v>2</v>
      </c>
      <c r="C215" s="270"/>
      <c r="D215" s="270">
        <v>3</v>
      </c>
      <c r="E215" s="270"/>
      <c r="F215" s="270">
        <v>4</v>
      </c>
      <c r="G215" s="270"/>
    </row>
    <row r="216" spans="1:7" ht="18.75" x14ac:dyDescent="0.25">
      <c r="A216" s="13"/>
      <c r="B216" s="335"/>
      <c r="C216" s="335"/>
      <c r="D216" s="335"/>
      <c r="E216" s="335"/>
      <c r="F216" s="336">
        <f>'платные на 2022-2023 год'!D80</f>
        <v>0</v>
      </c>
      <c r="G216" s="336"/>
    </row>
    <row r="217" spans="1:7" ht="18.75" x14ac:dyDescent="0.25">
      <c r="A217" s="13"/>
      <c r="B217" s="335"/>
      <c r="C217" s="335"/>
      <c r="D217" s="335"/>
      <c r="E217" s="335"/>
      <c r="F217" s="336"/>
      <c r="G217" s="336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70" t="s">
        <v>106</v>
      </c>
      <c r="C221" s="270"/>
      <c r="D221" s="270" t="s">
        <v>107</v>
      </c>
      <c r="E221" s="270"/>
      <c r="F221" s="270" t="s">
        <v>108</v>
      </c>
      <c r="G221" s="270"/>
    </row>
    <row r="222" spans="1:7" ht="18" customHeight="1" x14ac:dyDescent="0.25">
      <c r="A222" s="106">
        <v>1</v>
      </c>
      <c r="B222" s="270">
        <v>2</v>
      </c>
      <c r="C222" s="270"/>
      <c r="D222" s="270">
        <v>3</v>
      </c>
      <c r="E222" s="270"/>
      <c r="F222" s="270">
        <v>4</v>
      </c>
      <c r="G222" s="270"/>
    </row>
    <row r="223" spans="1:7" ht="18" customHeight="1" x14ac:dyDescent="0.25">
      <c r="A223" s="13"/>
      <c r="B223" s="335"/>
      <c r="C223" s="335"/>
      <c r="D223" s="335"/>
      <c r="E223" s="335"/>
      <c r="F223" s="336">
        <f>'платные на 2022-2023 год'!D81</f>
        <v>0</v>
      </c>
      <c r="G223" s="336"/>
    </row>
    <row r="224" spans="1:7" ht="18" customHeight="1" x14ac:dyDescent="0.25">
      <c r="A224" s="13"/>
      <c r="B224" s="335"/>
      <c r="C224" s="335"/>
      <c r="D224" s="335"/>
      <c r="E224" s="335"/>
      <c r="F224" s="336"/>
      <c r="G224" s="336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70" t="s">
        <v>106</v>
      </c>
      <c r="C228" s="270"/>
      <c r="D228" s="270" t="s">
        <v>107</v>
      </c>
      <c r="E228" s="270"/>
      <c r="F228" s="270" t="s">
        <v>108</v>
      </c>
      <c r="G228" s="270"/>
    </row>
    <row r="229" spans="1:7" ht="18" customHeight="1" x14ac:dyDescent="0.25">
      <c r="A229" s="106">
        <v>1</v>
      </c>
      <c r="B229" s="270">
        <v>2</v>
      </c>
      <c r="C229" s="270"/>
      <c r="D229" s="270">
        <v>3</v>
      </c>
      <c r="E229" s="270"/>
      <c r="F229" s="270">
        <v>4</v>
      </c>
      <c r="G229" s="270"/>
    </row>
    <row r="230" spans="1:7" ht="18" customHeight="1" x14ac:dyDescent="0.25">
      <c r="A230" s="13"/>
      <c r="B230" s="335"/>
      <c r="C230" s="335"/>
      <c r="D230" s="335"/>
      <c r="E230" s="335"/>
      <c r="F230" s="336">
        <f>'платные на 2022-2023 год'!D82</f>
        <v>0</v>
      </c>
      <c r="G230" s="336"/>
    </row>
    <row r="231" spans="1:7" ht="18" customHeight="1" x14ac:dyDescent="0.25">
      <c r="A231" s="13"/>
      <c r="B231" s="335"/>
      <c r="C231" s="335"/>
      <c r="D231" s="335"/>
      <c r="E231" s="335"/>
      <c r="F231" s="336"/>
      <c r="G231" s="336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71" t="s">
        <v>213</v>
      </c>
      <c r="B233" s="271"/>
      <c r="C233" s="271"/>
      <c r="D233" s="271"/>
      <c r="E233" s="271"/>
      <c r="F233" s="271"/>
      <c r="G233" s="271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70" t="s">
        <v>109</v>
      </c>
      <c r="C236" s="270"/>
      <c r="D236" s="270" t="s">
        <v>110</v>
      </c>
      <c r="E236" s="270"/>
      <c r="F236" s="270" t="s">
        <v>111</v>
      </c>
      <c r="G236" s="270"/>
    </row>
    <row r="237" spans="1:7" ht="18" customHeight="1" x14ac:dyDescent="0.25">
      <c r="A237" s="106">
        <v>1</v>
      </c>
      <c r="B237" s="270">
        <v>2</v>
      </c>
      <c r="C237" s="270"/>
      <c r="D237" s="270">
        <v>3</v>
      </c>
      <c r="E237" s="270"/>
      <c r="F237" s="270">
        <v>4</v>
      </c>
      <c r="G237" s="270"/>
    </row>
    <row r="238" spans="1:7" ht="18" customHeight="1" x14ac:dyDescent="0.25">
      <c r="A238" s="106"/>
      <c r="B238" s="250"/>
      <c r="C238" s="251"/>
      <c r="D238" s="250"/>
      <c r="E238" s="251"/>
      <c r="F238" s="250"/>
      <c r="G238" s="251"/>
    </row>
    <row r="239" spans="1:7" ht="18" customHeight="1" x14ac:dyDescent="0.25">
      <c r="A239" s="106" t="s">
        <v>245</v>
      </c>
      <c r="B239" s="250"/>
      <c r="C239" s="251"/>
      <c r="D239" s="250"/>
      <c r="E239" s="251"/>
      <c r="F239" s="244">
        <f>'платные на 2022-2023 год'!D75</f>
        <v>0</v>
      </c>
      <c r="G239" s="251"/>
    </row>
    <row r="240" spans="1:7" ht="18" customHeight="1" x14ac:dyDescent="0.25">
      <c r="A240" s="106"/>
      <c r="B240" s="250"/>
      <c r="C240" s="251"/>
      <c r="D240" s="250"/>
      <c r="E240" s="251"/>
      <c r="F240" s="250"/>
      <c r="G240" s="251"/>
    </row>
    <row r="241" spans="1:7" ht="18" customHeight="1" x14ac:dyDescent="0.25">
      <c r="A241" s="106" t="s">
        <v>246</v>
      </c>
      <c r="B241" s="250"/>
      <c r="C241" s="251"/>
      <c r="D241" s="250"/>
      <c r="E241" s="251"/>
      <c r="F241" s="244">
        <f>'платные на 2022-2023 год'!D76</f>
        <v>0</v>
      </c>
      <c r="G241" s="251"/>
    </row>
    <row r="242" spans="1:7" ht="18" customHeight="1" x14ac:dyDescent="0.25">
      <c r="A242" s="106"/>
      <c r="B242" s="250"/>
      <c r="C242" s="251"/>
      <c r="D242" s="250"/>
      <c r="E242" s="251"/>
      <c r="F242" s="250"/>
      <c r="G242" s="251"/>
    </row>
    <row r="243" spans="1:7" ht="18" customHeight="1" x14ac:dyDescent="0.25">
      <c r="A243" s="106" t="s">
        <v>247</v>
      </c>
      <c r="B243" s="250"/>
      <c r="C243" s="251"/>
      <c r="D243" s="250"/>
      <c r="E243" s="251"/>
      <c r="F243" s="244">
        <f>'платные на 2022-2023 год'!D77</f>
        <v>0</v>
      </c>
      <c r="G243" s="251"/>
    </row>
    <row r="244" spans="1:7" ht="18" customHeight="1" x14ac:dyDescent="0.25">
      <c r="A244" s="106"/>
      <c r="B244" s="250"/>
      <c r="C244" s="251"/>
      <c r="D244" s="250"/>
      <c r="E244" s="251"/>
      <c r="F244" s="250"/>
      <c r="G244" s="251"/>
    </row>
    <row r="245" spans="1:7" ht="18" customHeight="1" x14ac:dyDescent="0.25">
      <c r="A245" s="106" t="s">
        <v>248</v>
      </c>
      <c r="B245" s="250"/>
      <c r="C245" s="251"/>
      <c r="D245" s="250"/>
      <c r="E245" s="251"/>
      <c r="F245" s="244">
        <f>'платные на 2022-2023 год'!D84</f>
        <v>0</v>
      </c>
      <c r="G245" s="251"/>
    </row>
    <row r="246" spans="1:7" ht="18" customHeight="1" x14ac:dyDescent="0.25">
      <c r="A246" s="106"/>
      <c r="B246" s="250"/>
      <c r="C246" s="251"/>
      <c r="D246" s="250"/>
      <c r="E246" s="251"/>
      <c r="F246" s="250"/>
      <c r="G246" s="251"/>
    </row>
    <row r="247" spans="1:7" ht="18" customHeight="1" x14ac:dyDescent="0.25">
      <c r="A247" s="106" t="s">
        <v>249</v>
      </c>
      <c r="B247" s="250"/>
      <c r="C247" s="251"/>
      <c r="D247" s="250"/>
      <c r="E247" s="251"/>
      <c r="F247" s="244">
        <f>'платные на 2022-2023 год'!D88</f>
        <v>0</v>
      </c>
      <c r="G247" s="251"/>
    </row>
    <row r="248" spans="1:7" ht="18" customHeight="1" x14ac:dyDescent="0.25">
      <c r="A248" s="13"/>
      <c r="B248" s="335"/>
      <c r="C248" s="335"/>
      <c r="D248" s="335"/>
      <c r="E248" s="335"/>
      <c r="F248" s="336"/>
      <c r="G248" s="336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71" t="s">
        <v>214</v>
      </c>
      <c r="B250" s="271"/>
      <c r="C250" s="271"/>
      <c r="D250" s="271"/>
      <c r="E250" s="271"/>
      <c r="F250" s="271"/>
      <c r="G250" s="271"/>
    </row>
    <row r="251" spans="1:7" ht="41.45" customHeight="1" x14ac:dyDescent="0.25">
      <c r="A251" s="272" t="s">
        <v>215</v>
      </c>
      <c r="B251" s="272"/>
      <c r="C251" s="272"/>
      <c r="D251" s="272"/>
      <c r="E251" s="272"/>
      <c r="F251" s="272"/>
      <c r="G251" s="272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70" t="s">
        <v>160</v>
      </c>
      <c r="C255" s="270"/>
      <c r="D255" s="270" t="s">
        <v>122</v>
      </c>
      <c r="E255" s="270"/>
      <c r="F255" s="270" t="s">
        <v>161</v>
      </c>
      <c r="G255" s="270"/>
    </row>
    <row r="256" spans="1:7" ht="28.9" customHeight="1" x14ac:dyDescent="0.25">
      <c r="A256" s="106">
        <v>1</v>
      </c>
      <c r="B256" s="250">
        <v>2</v>
      </c>
      <c r="C256" s="251"/>
      <c r="D256" s="250">
        <v>3</v>
      </c>
      <c r="E256" s="251"/>
      <c r="F256" s="278">
        <v>4</v>
      </c>
      <c r="G256" s="279"/>
    </row>
    <row r="257" spans="1:7" ht="28.9" customHeight="1" x14ac:dyDescent="0.25">
      <c r="A257" s="13" t="s">
        <v>159</v>
      </c>
      <c r="B257" s="278"/>
      <c r="C257" s="279"/>
      <c r="D257" s="278"/>
      <c r="E257" s="279"/>
      <c r="F257" s="329">
        <f>'платные на 2022-2023 год'!D36</f>
        <v>0</v>
      </c>
      <c r="G257" s="330"/>
    </row>
    <row r="258" spans="1:7" ht="28.9" customHeight="1" x14ac:dyDescent="0.25">
      <c r="A258" s="13" t="s">
        <v>120</v>
      </c>
      <c r="B258" s="278"/>
      <c r="C258" s="279"/>
      <c r="D258" s="278"/>
      <c r="E258" s="279"/>
      <c r="F258" s="329"/>
      <c r="G258" s="330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69" t="s">
        <v>216</v>
      </c>
      <c r="B260" s="269"/>
      <c r="C260" s="269"/>
      <c r="D260" s="269"/>
      <c r="E260" s="269"/>
      <c r="F260" s="269"/>
      <c r="G260" s="269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70" t="s">
        <v>121</v>
      </c>
      <c r="C264" s="270"/>
      <c r="D264" s="270" t="s">
        <v>122</v>
      </c>
      <c r="E264" s="270"/>
      <c r="F264" s="270" t="s">
        <v>186</v>
      </c>
      <c r="G264" s="270"/>
    </row>
    <row r="265" spans="1:7" ht="18.75" x14ac:dyDescent="0.25">
      <c r="A265" s="106">
        <v>1</v>
      </c>
      <c r="B265" s="250">
        <v>2</v>
      </c>
      <c r="C265" s="251"/>
      <c r="D265" s="250">
        <v>3</v>
      </c>
      <c r="E265" s="251"/>
      <c r="F265" s="278">
        <v>4</v>
      </c>
      <c r="G265" s="279"/>
    </row>
    <row r="266" spans="1:7" ht="37.5" x14ac:dyDescent="0.25">
      <c r="A266" s="13" t="s">
        <v>123</v>
      </c>
      <c r="B266" s="278"/>
      <c r="C266" s="279"/>
      <c r="D266" s="278"/>
      <c r="E266" s="279"/>
      <c r="F266" s="329">
        <f>'платные на 2022-2023 год'!D39</f>
        <v>0</v>
      </c>
      <c r="G266" s="330"/>
    </row>
    <row r="267" spans="1:7" ht="18.75" x14ac:dyDescent="0.25">
      <c r="A267" s="13" t="s">
        <v>124</v>
      </c>
      <c r="B267" s="278"/>
      <c r="C267" s="279"/>
      <c r="D267" s="278"/>
      <c r="E267" s="279"/>
      <c r="F267" s="329"/>
      <c r="G267" s="330"/>
    </row>
    <row r="268" spans="1:7" ht="18.75" x14ac:dyDescent="0.25">
      <c r="A268" s="13" t="s">
        <v>120</v>
      </c>
      <c r="B268" s="278"/>
      <c r="C268" s="279"/>
      <c r="D268" s="278"/>
      <c r="E268" s="279"/>
      <c r="F268" s="329"/>
      <c r="G268" s="330"/>
    </row>
    <row r="269" spans="1:7" x14ac:dyDescent="0.25">
      <c r="A269" s="23"/>
    </row>
    <row r="270" spans="1:7" ht="18.75" x14ac:dyDescent="0.25">
      <c r="A270" s="269" t="s">
        <v>217</v>
      </c>
      <c r="B270" s="269"/>
      <c r="C270" s="269"/>
      <c r="D270" s="269"/>
      <c r="E270" s="269"/>
      <c r="F270" s="269"/>
      <c r="G270" s="269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70" t="s">
        <v>125</v>
      </c>
      <c r="C274" s="270"/>
      <c r="D274" s="270" t="s">
        <v>93</v>
      </c>
      <c r="E274" s="270"/>
      <c r="F274" s="270" t="s">
        <v>186</v>
      </c>
      <c r="G274" s="270"/>
    </row>
    <row r="275" spans="1:7" ht="18.75" x14ac:dyDescent="0.25">
      <c r="A275" s="106">
        <v>1</v>
      </c>
      <c r="B275" s="250">
        <v>2</v>
      </c>
      <c r="C275" s="251"/>
      <c r="D275" s="250">
        <v>3</v>
      </c>
      <c r="E275" s="251"/>
      <c r="F275" s="250">
        <v>4</v>
      </c>
      <c r="G275" s="251"/>
    </row>
    <row r="276" spans="1:7" ht="18.75" x14ac:dyDescent="0.25">
      <c r="A276" s="13"/>
      <c r="B276" s="250"/>
      <c r="C276" s="251"/>
      <c r="D276" s="250"/>
      <c r="E276" s="251"/>
      <c r="F276" s="244">
        <f>'платные на 2022-2023 год'!D42</f>
        <v>0</v>
      </c>
      <c r="G276" s="245"/>
    </row>
    <row r="277" spans="1:7" ht="18.75" x14ac:dyDescent="0.25">
      <c r="A277" s="13" t="s">
        <v>120</v>
      </c>
      <c r="B277" s="250"/>
      <c r="C277" s="251"/>
      <c r="D277" s="250"/>
      <c r="E277" s="251"/>
      <c r="F277" s="244"/>
      <c r="G277" s="245"/>
    </row>
    <row r="278" spans="1:7" ht="18.75" x14ac:dyDescent="0.25">
      <c r="A278" s="8"/>
    </row>
    <row r="279" spans="1:7" ht="18.75" x14ac:dyDescent="0.25">
      <c r="A279" s="269" t="s">
        <v>218</v>
      </c>
      <c r="B279" s="269"/>
      <c r="C279" s="269"/>
      <c r="D279" s="269"/>
      <c r="E279" s="269"/>
      <c r="F279" s="269"/>
      <c r="G279" s="269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70" t="s">
        <v>126</v>
      </c>
      <c r="C283" s="270"/>
      <c r="D283" s="270" t="s">
        <v>127</v>
      </c>
      <c r="E283" s="270"/>
      <c r="F283" s="270" t="s">
        <v>94</v>
      </c>
      <c r="G283" s="270"/>
    </row>
    <row r="284" spans="1:7" ht="18.75" x14ac:dyDescent="0.25">
      <c r="A284" s="106">
        <v>1</v>
      </c>
      <c r="B284" s="250">
        <v>2</v>
      </c>
      <c r="C284" s="251"/>
      <c r="D284" s="250">
        <v>3</v>
      </c>
      <c r="E284" s="251"/>
      <c r="F284" s="250">
        <v>4</v>
      </c>
      <c r="G284" s="251"/>
    </row>
    <row r="285" spans="1:7" ht="75" x14ac:dyDescent="0.25">
      <c r="A285" s="13" t="s">
        <v>18</v>
      </c>
      <c r="B285" s="250"/>
      <c r="C285" s="251"/>
      <c r="D285" s="250"/>
      <c r="E285" s="251"/>
      <c r="F285" s="244">
        <f>'платные на 2022-2023 год'!D45</f>
        <v>0</v>
      </c>
      <c r="G285" s="245"/>
    </row>
    <row r="286" spans="1:7" ht="37.5" x14ac:dyDescent="0.25">
      <c r="A286" s="13" t="s">
        <v>19</v>
      </c>
      <c r="B286" s="250"/>
      <c r="C286" s="251"/>
      <c r="D286" s="250"/>
      <c r="E286" s="251"/>
      <c r="F286" s="244">
        <f>'платные на 2022-2023 год'!D46</f>
        <v>0</v>
      </c>
      <c r="G286" s="245"/>
    </row>
    <row r="287" spans="1:7" ht="75" x14ac:dyDescent="0.25">
      <c r="A287" s="13" t="s">
        <v>20</v>
      </c>
      <c r="B287" s="250"/>
      <c r="C287" s="251"/>
      <c r="D287" s="250"/>
      <c r="E287" s="251"/>
      <c r="F287" s="244">
        <f>'платные на 2022-2023 год'!D47</f>
        <v>0</v>
      </c>
      <c r="G287" s="245"/>
    </row>
    <row r="288" spans="1:7" ht="75" x14ac:dyDescent="0.25">
      <c r="A288" s="13" t="s">
        <v>21</v>
      </c>
      <c r="B288" s="250"/>
      <c r="C288" s="251"/>
      <c r="D288" s="250"/>
      <c r="E288" s="251"/>
      <c r="F288" s="244">
        <f>'платные на 2022-2023 год'!D48</f>
        <v>0</v>
      </c>
      <c r="G288" s="245"/>
    </row>
    <row r="289" spans="1:7" ht="56.25" x14ac:dyDescent="0.25">
      <c r="A289" s="24" t="s">
        <v>22</v>
      </c>
      <c r="B289" s="250"/>
      <c r="C289" s="251"/>
      <c r="D289" s="250"/>
      <c r="E289" s="251"/>
      <c r="F289" s="244">
        <f>'платные на 2022-2023 год'!D49</f>
        <v>0</v>
      </c>
      <c r="G289" s="245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34" t="s">
        <v>219</v>
      </c>
      <c r="B291" s="334"/>
      <c r="C291" s="334"/>
      <c r="D291" s="334"/>
      <c r="E291" s="334"/>
      <c r="F291" s="334"/>
      <c r="G291" s="334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70" t="s">
        <v>128</v>
      </c>
      <c r="C295" s="270"/>
      <c r="D295" s="270" t="s">
        <v>148</v>
      </c>
      <c r="E295" s="270"/>
      <c r="F295" s="270" t="s">
        <v>129</v>
      </c>
      <c r="G295" s="270"/>
    </row>
    <row r="296" spans="1:7" ht="18.75" x14ac:dyDescent="0.25">
      <c r="A296" s="106">
        <v>1</v>
      </c>
      <c r="B296" s="250">
        <v>2</v>
      </c>
      <c r="C296" s="251"/>
      <c r="D296" s="250">
        <v>3</v>
      </c>
      <c r="E296" s="251"/>
      <c r="F296" s="250">
        <v>4</v>
      </c>
      <c r="G296" s="251"/>
    </row>
    <row r="297" spans="1:7" ht="37.5" x14ac:dyDescent="0.25">
      <c r="A297" s="13" t="s">
        <v>130</v>
      </c>
      <c r="B297" s="250"/>
      <c r="C297" s="251"/>
      <c r="D297" s="250"/>
      <c r="E297" s="251"/>
      <c r="F297" s="244">
        <f>'платные на 2022-2023 год'!D50</f>
        <v>0</v>
      </c>
      <c r="G297" s="245"/>
    </row>
    <row r="298" spans="1:7" ht="18.75" x14ac:dyDescent="0.25">
      <c r="A298" s="13" t="s">
        <v>118</v>
      </c>
      <c r="B298" s="250"/>
      <c r="C298" s="251"/>
      <c r="D298" s="250"/>
      <c r="E298" s="251"/>
      <c r="F298" s="244"/>
      <c r="G298" s="245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72" t="s">
        <v>220</v>
      </c>
      <c r="B300" s="272"/>
      <c r="C300" s="272"/>
      <c r="D300" s="272"/>
      <c r="E300" s="272"/>
      <c r="F300" s="272"/>
      <c r="G300" s="272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70" t="s">
        <v>86</v>
      </c>
      <c r="B304" s="270"/>
      <c r="C304" s="270"/>
      <c r="D304" s="270" t="s">
        <v>131</v>
      </c>
      <c r="E304" s="270"/>
      <c r="F304" s="270" t="s">
        <v>132</v>
      </c>
      <c r="G304" s="270"/>
    </row>
    <row r="305" spans="1:7" ht="18.75" x14ac:dyDescent="0.3">
      <c r="A305" s="270">
        <v>1</v>
      </c>
      <c r="B305" s="270"/>
      <c r="C305" s="270"/>
      <c r="D305" s="258">
        <v>2</v>
      </c>
      <c r="E305" s="259"/>
      <c r="F305" s="258">
        <v>3</v>
      </c>
      <c r="G305" s="259"/>
    </row>
    <row r="306" spans="1:7" ht="43.15" customHeight="1" x14ac:dyDescent="0.25">
      <c r="A306" s="257" t="s">
        <v>163</v>
      </c>
      <c r="B306" s="257"/>
      <c r="C306" s="257"/>
      <c r="D306" s="274"/>
      <c r="E306" s="275"/>
      <c r="F306" s="294">
        <f>'платные на 2022-2023 год'!D52</f>
        <v>0</v>
      </c>
      <c r="G306" s="295"/>
    </row>
    <row r="307" spans="1:7" ht="18.75" x14ac:dyDescent="0.25">
      <c r="A307" s="248" t="s">
        <v>120</v>
      </c>
      <c r="B307" s="260"/>
      <c r="C307" s="249"/>
      <c r="D307" s="274"/>
      <c r="E307" s="275"/>
      <c r="F307" s="331"/>
      <c r="G307" s="333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70" t="s">
        <v>86</v>
      </c>
      <c r="B311" s="270"/>
      <c r="C311" s="270"/>
      <c r="D311" s="270" t="s">
        <v>131</v>
      </c>
      <c r="E311" s="270"/>
      <c r="F311" s="270" t="s">
        <v>132</v>
      </c>
      <c r="G311" s="270"/>
    </row>
    <row r="312" spans="1:7" ht="18.75" x14ac:dyDescent="0.3">
      <c r="A312" s="270">
        <v>1</v>
      </c>
      <c r="B312" s="270"/>
      <c r="C312" s="270"/>
      <c r="D312" s="258">
        <v>2</v>
      </c>
      <c r="E312" s="259"/>
      <c r="F312" s="258">
        <v>3</v>
      </c>
      <c r="G312" s="259"/>
    </row>
    <row r="313" spans="1:7" ht="34.15" customHeight="1" x14ac:dyDescent="0.25">
      <c r="A313" s="257" t="s">
        <v>133</v>
      </c>
      <c r="B313" s="257"/>
      <c r="C313" s="257"/>
      <c r="D313" s="274"/>
      <c r="E313" s="275"/>
      <c r="F313" s="294">
        <f>'платные на 2022-2023 год'!D53</f>
        <v>0</v>
      </c>
      <c r="G313" s="295"/>
    </row>
    <row r="314" spans="1:7" ht="34.15" customHeight="1" x14ac:dyDescent="0.25">
      <c r="A314" s="257" t="s">
        <v>134</v>
      </c>
      <c r="B314" s="257"/>
      <c r="C314" s="257"/>
      <c r="D314" s="274"/>
      <c r="E314" s="275"/>
      <c r="F314" s="331"/>
      <c r="G314" s="333"/>
    </row>
    <row r="315" spans="1:7" ht="34.15" customHeight="1" x14ac:dyDescent="0.25">
      <c r="A315" s="257" t="s">
        <v>135</v>
      </c>
      <c r="B315" s="257"/>
      <c r="C315" s="257"/>
      <c r="D315" s="274"/>
      <c r="E315" s="275"/>
      <c r="F315" s="331"/>
      <c r="G315" s="333"/>
    </row>
    <row r="316" spans="1:7" ht="34.15" customHeight="1" x14ac:dyDescent="0.25">
      <c r="A316" s="257" t="s">
        <v>136</v>
      </c>
      <c r="B316" s="257"/>
      <c r="C316" s="257"/>
      <c r="D316" s="274"/>
      <c r="E316" s="275"/>
      <c r="F316" s="331"/>
      <c r="G316" s="333"/>
    </row>
    <row r="317" spans="1:7" ht="18.75" x14ac:dyDescent="0.25">
      <c r="A317" s="248" t="s">
        <v>120</v>
      </c>
      <c r="B317" s="260"/>
      <c r="C317" s="249"/>
      <c r="D317" s="274"/>
      <c r="E317" s="275"/>
      <c r="F317" s="331"/>
      <c r="G317" s="333"/>
    </row>
    <row r="318" spans="1:7" ht="18.75" x14ac:dyDescent="0.25">
      <c r="A318" s="29"/>
    </row>
    <row r="319" spans="1:7" ht="18.75" x14ac:dyDescent="0.25">
      <c r="A319" s="269" t="s">
        <v>221</v>
      </c>
      <c r="B319" s="269"/>
      <c r="C319" s="269"/>
      <c r="D319" s="269"/>
      <c r="E319" s="269"/>
      <c r="F319" s="269"/>
      <c r="G319" s="269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70" t="s">
        <v>86</v>
      </c>
      <c r="B323" s="270"/>
      <c r="C323" s="270"/>
      <c r="D323" s="270" t="s">
        <v>137</v>
      </c>
      <c r="E323" s="270"/>
      <c r="F323" s="270" t="s">
        <v>138</v>
      </c>
      <c r="G323" s="270"/>
    </row>
    <row r="324" spans="1:7" ht="18.75" x14ac:dyDescent="0.3">
      <c r="A324" s="250">
        <v>1</v>
      </c>
      <c r="B324" s="277"/>
      <c r="C324" s="251"/>
      <c r="D324" s="258">
        <v>2</v>
      </c>
      <c r="E324" s="259"/>
      <c r="F324" s="258">
        <v>3</v>
      </c>
      <c r="G324" s="259"/>
    </row>
    <row r="325" spans="1:7" ht="38.450000000000003" customHeight="1" x14ac:dyDescent="0.25">
      <c r="A325" s="248" t="s">
        <v>162</v>
      </c>
      <c r="B325" s="260"/>
      <c r="C325" s="249"/>
      <c r="D325" s="274"/>
      <c r="E325" s="275"/>
      <c r="F325" s="294">
        <f>'платные на 2022-2023 год'!D58</f>
        <v>0</v>
      </c>
      <c r="G325" s="295"/>
    </row>
    <row r="326" spans="1:7" ht="18.75" x14ac:dyDescent="0.25">
      <c r="A326" s="248" t="s">
        <v>120</v>
      </c>
      <c r="B326" s="260"/>
      <c r="C326" s="249"/>
      <c r="D326" s="274"/>
      <c r="E326" s="275"/>
      <c r="F326" s="331"/>
      <c r="G326" s="333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70" t="s">
        <v>86</v>
      </c>
      <c r="B330" s="270"/>
      <c r="C330" s="270"/>
      <c r="D330" s="270" t="s">
        <v>137</v>
      </c>
      <c r="E330" s="270"/>
      <c r="F330" s="270" t="s">
        <v>138</v>
      </c>
      <c r="G330" s="270"/>
    </row>
    <row r="331" spans="1:7" ht="18.75" x14ac:dyDescent="0.3">
      <c r="A331" s="250">
        <v>1</v>
      </c>
      <c r="B331" s="277"/>
      <c r="C331" s="251"/>
      <c r="D331" s="258">
        <v>2</v>
      </c>
      <c r="E331" s="259"/>
      <c r="F331" s="258">
        <v>3</v>
      </c>
      <c r="G331" s="259"/>
    </row>
    <row r="332" spans="1:7" ht="18.75" x14ac:dyDescent="0.25">
      <c r="A332" s="248" t="s">
        <v>139</v>
      </c>
      <c r="B332" s="260"/>
      <c r="C332" s="249"/>
      <c r="D332" s="274"/>
      <c r="E332" s="275"/>
      <c r="F332" s="294">
        <f>'платные на 2022-2023 год'!D59</f>
        <v>0</v>
      </c>
      <c r="G332" s="295"/>
    </row>
    <row r="333" spans="1:7" ht="18.75" x14ac:dyDescent="0.25">
      <c r="A333" s="248" t="s">
        <v>140</v>
      </c>
      <c r="B333" s="260"/>
      <c r="C333" s="249"/>
      <c r="D333" s="274"/>
      <c r="E333" s="275"/>
      <c r="F333" s="294"/>
      <c r="G333" s="295"/>
    </row>
    <row r="334" spans="1:7" ht="18.75" x14ac:dyDescent="0.25">
      <c r="A334" s="248" t="s">
        <v>141</v>
      </c>
      <c r="B334" s="260"/>
      <c r="C334" s="249"/>
      <c r="D334" s="274"/>
      <c r="E334" s="275"/>
      <c r="F334" s="331"/>
      <c r="G334" s="333"/>
    </row>
    <row r="335" spans="1:7" ht="18.75" x14ac:dyDescent="0.25">
      <c r="A335" s="248" t="s">
        <v>120</v>
      </c>
      <c r="B335" s="260"/>
      <c r="C335" s="249"/>
      <c r="D335" s="274"/>
      <c r="E335" s="275"/>
      <c r="F335" s="331"/>
      <c r="G335" s="333"/>
    </row>
    <row r="336" spans="1:7" ht="18.75" x14ac:dyDescent="0.25">
      <c r="A336" s="8"/>
    </row>
    <row r="337" spans="1:7" ht="18.75" x14ac:dyDescent="0.25">
      <c r="A337" s="269" t="s">
        <v>222</v>
      </c>
      <c r="B337" s="269"/>
      <c r="C337" s="269"/>
      <c r="D337" s="269"/>
      <c r="E337" s="269"/>
      <c r="F337" s="269"/>
      <c r="G337" s="269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0" t="s">
        <v>86</v>
      </c>
      <c r="B341" s="251"/>
      <c r="C341" s="250" t="s">
        <v>137</v>
      </c>
      <c r="D341" s="251"/>
      <c r="E341" s="250" t="s">
        <v>138</v>
      </c>
      <c r="F341" s="277"/>
      <c r="G341" s="251"/>
    </row>
    <row r="342" spans="1:7" ht="18.75" x14ac:dyDescent="0.3">
      <c r="A342" s="250">
        <v>1</v>
      </c>
      <c r="B342" s="251"/>
      <c r="C342" s="250">
        <v>2</v>
      </c>
      <c r="D342" s="251"/>
      <c r="E342" s="258">
        <v>3</v>
      </c>
      <c r="F342" s="276"/>
      <c r="G342" s="259"/>
    </row>
    <row r="343" spans="1:7" ht="18.75" x14ac:dyDescent="0.25">
      <c r="A343" s="248" t="s">
        <v>25</v>
      </c>
      <c r="B343" s="249"/>
      <c r="C343" s="250"/>
      <c r="D343" s="251"/>
      <c r="E343" s="331">
        <f>'платные на 2022-2023 год'!D60</f>
        <v>0</v>
      </c>
      <c r="F343" s="332"/>
      <c r="G343" s="333"/>
    </row>
    <row r="344" spans="1:7" ht="18.75" x14ac:dyDescent="0.25">
      <c r="A344" s="248" t="s">
        <v>120</v>
      </c>
      <c r="B344" s="249"/>
      <c r="C344" s="250"/>
      <c r="D344" s="251"/>
      <c r="E344" s="331"/>
      <c r="F344" s="332"/>
      <c r="G344" s="333"/>
    </row>
    <row r="345" spans="1:7" x14ac:dyDescent="0.25">
      <c r="A345" s="23"/>
    </row>
    <row r="346" spans="1:7" ht="43.15" customHeight="1" x14ac:dyDescent="0.25">
      <c r="A346" s="271" t="s">
        <v>223</v>
      </c>
      <c r="B346" s="271"/>
      <c r="C346" s="271"/>
      <c r="D346" s="271"/>
      <c r="E346" s="271"/>
      <c r="F346" s="271"/>
      <c r="G346" s="271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70" t="s">
        <v>142</v>
      </c>
      <c r="C350" s="270"/>
      <c r="D350" s="270" t="s">
        <v>143</v>
      </c>
      <c r="E350" s="270"/>
      <c r="F350" s="270" t="s">
        <v>149</v>
      </c>
      <c r="G350" s="270"/>
    </row>
    <row r="351" spans="1:7" ht="18.75" x14ac:dyDescent="0.25">
      <c r="A351" s="106">
        <v>1</v>
      </c>
      <c r="B351" s="250">
        <v>2</v>
      </c>
      <c r="C351" s="251"/>
      <c r="D351" s="250">
        <v>3</v>
      </c>
      <c r="E351" s="251"/>
      <c r="F351" s="250">
        <v>4</v>
      </c>
      <c r="G351" s="251"/>
    </row>
    <row r="352" spans="1:7" ht="18.75" x14ac:dyDescent="0.25">
      <c r="A352" s="106"/>
      <c r="B352" s="250"/>
      <c r="C352" s="251"/>
      <c r="D352" s="250"/>
      <c r="E352" s="251"/>
      <c r="F352" s="244"/>
      <c r="G352" s="245"/>
    </row>
    <row r="353" spans="1:7" ht="18.75" x14ac:dyDescent="0.25">
      <c r="A353" s="112" t="s">
        <v>248</v>
      </c>
      <c r="B353" s="250"/>
      <c r="C353" s="251"/>
      <c r="D353" s="250"/>
      <c r="E353" s="251"/>
      <c r="F353" s="244">
        <f>'платные на 2022-2023 год'!D79</f>
        <v>0</v>
      </c>
      <c r="G353" s="245"/>
    </row>
    <row r="354" spans="1:7" ht="18.75" x14ac:dyDescent="0.25">
      <c r="A354" s="112"/>
      <c r="B354" s="250"/>
      <c r="C354" s="251"/>
      <c r="D354" s="250"/>
      <c r="E354" s="251"/>
      <c r="F354" s="244"/>
      <c r="G354" s="245"/>
    </row>
    <row r="355" spans="1:7" ht="18.75" x14ac:dyDescent="0.25">
      <c r="A355" s="13" t="s">
        <v>249</v>
      </c>
      <c r="B355" s="250"/>
      <c r="C355" s="251"/>
      <c r="D355" s="250"/>
      <c r="E355" s="251"/>
      <c r="F355" s="244">
        <f>'платные на 2022-2023 год'!D86</f>
        <v>0</v>
      </c>
      <c r="G355" s="245"/>
    </row>
    <row r="356" spans="1:7" ht="18.75" x14ac:dyDescent="0.25">
      <c r="A356" s="8"/>
    </row>
    <row r="357" spans="1:7" ht="18.75" x14ac:dyDescent="0.25">
      <c r="A357" s="269" t="s">
        <v>224</v>
      </c>
      <c r="B357" s="269"/>
      <c r="C357" s="269"/>
      <c r="D357" s="269"/>
      <c r="E357" s="269"/>
      <c r="F357" s="269"/>
      <c r="G357" s="269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70" t="s">
        <v>142</v>
      </c>
      <c r="C361" s="270"/>
      <c r="D361" s="270" t="s">
        <v>143</v>
      </c>
      <c r="E361" s="270"/>
      <c r="F361" s="270" t="s">
        <v>150</v>
      </c>
      <c r="G361" s="270"/>
    </row>
    <row r="362" spans="1:7" ht="18.75" x14ac:dyDescent="0.25">
      <c r="A362" s="106">
        <v>1</v>
      </c>
      <c r="B362" s="250">
        <v>2</v>
      </c>
      <c r="C362" s="251"/>
      <c r="D362" s="250">
        <v>3</v>
      </c>
      <c r="E362" s="251"/>
      <c r="F362" s="250">
        <v>4</v>
      </c>
      <c r="G362" s="251"/>
    </row>
    <row r="363" spans="1:7" ht="56.25" x14ac:dyDescent="0.25">
      <c r="A363" s="13" t="s">
        <v>144</v>
      </c>
      <c r="B363" s="250"/>
      <c r="C363" s="251"/>
      <c r="D363" s="250"/>
      <c r="E363" s="251"/>
      <c r="F363" s="244">
        <f>'платные на 2022-2023 год'!D91</f>
        <v>0</v>
      </c>
      <c r="G363" s="245"/>
    </row>
    <row r="364" spans="1:7" ht="18.75" x14ac:dyDescent="0.25">
      <c r="A364" s="13" t="s">
        <v>120</v>
      </c>
      <c r="B364" s="250"/>
      <c r="C364" s="251"/>
      <c r="D364" s="250"/>
      <c r="E364" s="251"/>
      <c r="F364" s="244"/>
      <c r="G364" s="245"/>
    </row>
    <row r="365" spans="1:7" ht="18.75" x14ac:dyDescent="0.25">
      <c r="A365" s="8"/>
    </row>
    <row r="366" spans="1:7" ht="28.15" customHeight="1" x14ac:dyDescent="0.25">
      <c r="A366" s="269" t="s">
        <v>250</v>
      </c>
      <c r="B366" s="269"/>
      <c r="C366" s="269"/>
      <c r="D366" s="269"/>
      <c r="E366" s="269"/>
      <c r="F366" s="269"/>
      <c r="G366" s="269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70" t="s">
        <v>142</v>
      </c>
      <c r="C370" s="270"/>
      <c r="D370" s="270" t="s">
        <v>143</v>
      </c>
      <c r="E370" s="270"/>
      <c r="F370" s="270" t="s">
        <v>150</v>
      </c>
      <c r="G370" s="270"/>
    </row>
    <row r="371" spans="1:7" ht="18.75" x14ac:dyDescent="0.25">
      <c r="A371" s="106">
        <v>1</v>
      </c>
      <c r="B371" s="250">
        <v>2</v>
      </c>
      <c r="C371" s="251"/>
      <c r="D371" s="250">
        <v>3</v>
      </c>
      <c r="E371" s="251"/>
      <c r="F371" s="250">
        <v>4</v>
      </c>
      <c r="G371" s="251"/>
    </row>
    <row r="372" spans="1:7" ht="18.75" x14ac:dyDescent="0.25">
      <c r="A372" s="13"/>
      <c r="B372" s="250"/>
      <c r="C372" s="251"/>
      <c r="D372" s="250"/>
      <c r="E372" s="251"/>
      <c r="F372" s="244">
        <f>'платные на 2022-2023 год'!D92</f>
        <v>0</v>
      </c>
      <c r="G372" s="245"/>
    </row>
    <row r="373" spans="1:7" ht="18.75" x14ac:dyDescent="0.25">
      <c r="A373" s="13" t="s">
        <v>120</v>
      </c>
      <c r="B373" s="250"/>
      <c r="C373" s="251"/>
      <c r="D373" s="250"/>
      <c r="E373" s="251"/>
      <c r="F373" s="244"/>
      <c r="G373" s="245"/>
    </row>
    <row r="374" spans="1:7" ht="18.75" x14ac:dyDescent="0.25">
      <c r="A374" s="8"/>
    </row>
    <row r="375" spans="1:7" ht="31.9" customHeight="1" x14ac:dyDescent="0.25">
      <c r="A375" s="271" t="s">
        <v>251</v>
      </c>
      <c r="B375" s="271"/>
      <c r="C375" s="271"/>
      <c r="D375" s="271"/>
      <c r="E375" s="271"/>
      <c r="F375" s="271"/>
      <c r="G375" s="271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70" t="s">
        <v>142</v>
      </c>
      <c r="C379" s="270"/>
      <c r="D379" s="270" t="s">
        <v>143</v>
      </c>
      <c r="E379" s="270"/>
      <c r="F379" s="270" t="s">
        <v>150</v>
      </c>
      <c r="G379" s="270"/>
    </row>
    <row r="380" spans="1:7" ht="18.75" x14ac:dyDescent="0.25">
      <c r="A380" s="106">
        <v>1</v>
      </c>
      <c r="B380" s="250">
        <v>2</v>
      </c>
      <c r="C380" s="251"/>
      <c r="D380" s="250">
        <v>3</v>
      </c>
      <c r="E380" s="251"/>
      <c r="F380" s="250">
        <v>4</v>
      </c>
      <c r="G380" s="251"/>
    </row>
    <row r="381" spans="1:7" ht="18.75" x14ac:dyDescent="0.25">
      <c r="A381" s="13"/>
      <c r="B381" s="278"/>
      <c r="C381" s="279"/>
      <c r="D381" s="278"/>
      <c r="E381" s="279"/>
      <c r="F381" s="329"/>
      <c r="G381" s="330"/>
    </row>
    <row r="382" spans="1:7" ht="18.75" x14ac:dyDescent="0.25">
      <c r="A382" s="13" t="s">
        <v>237</v>
      </c>
      <c r="B382" s="278"/>
      <c r="C382" s="279"/>
      <c r="D382" s="278"/>
      <c r="E382" s="279"/>
      <c r="F382" s="329">
        <f>'платные на 2022-2023 год'!D95</f>
        <v>0</v>
      </c>
      <c r="G382" s="330"/>
    </row>
    <row r="383" spans="1:7" ht="18.75" x14ac:dyDescent="0.25">
      <c r="A383" s="13"/>
      <c r="B383" s="278"/>
      <c r="C383" s="279"/>
      <c r="D383" s="278"/>
      <c r="E383" s="279"/>
      <c r="F383" s="329"/>
      <c r="G383" s="330"/>
    </row>
    <row r="384" spans="1:7" ht="18.75" x14ac:dyDescent="0.25">
      <c r="A384" s="13" t="s">
        <v>238</v>
      </c>
      <c r="B384" s="278"/>
      <c r="C384" s="279"/>
      <c r="D384" s="278"/>
      <c r="E384" s="279"/>
      <c r="F384" s="329">
        <f>'платные на 2022-2023 год'!D96</f>
        <v>0</v>
      </c>
      <c r="G384" s="330"/>
    </row>
    <row r="385" spans="1:7" ht="18.75" x14ac:dyDescent="0.25">
      <c r="A385" s="13"/>
      <c r="B385" s="278"/>
      <c r="C385" s="279"/>
      <c r="D385" s="278"/>
      <c r="E385" s="279"/>
      <c r="F385" s="329"/>
      <c r="G385" s="330"/>
    </row>
    <row r="386" spans="1:7" ht="18.75" x14ac:dyDescent="0.25">
      <c r="A386" s="13" t="s">
        <v>239</v>
      </c>
      <c r="B386" s="278"/>
      <c r="C386" s="279"/>
      <c r="D386" s="278"/>
      <c r="E386" s="279"/>
      <c r="F386" s="329">
        <f>'платные на 2022-2023 год'!D97</f>
        <v>0</v>
      </c>
      <c r="G386" s="330"/>
    </row>
    <row r="387" spans="1:7" ht="18.75" x14ac:dyDescent="0.25">
      <c r="A387" s="13"/>
      <c r="B387" s="278"/>
      <c r="C387" s="279"/>
      <c r="D387" s="278"/>
      <c r="E387" s="279"/>
      <c r="F387" s="329"/>
      <c r="G387" s="330"/>
    </row>
    <row r="388" spans="1:7" ht="18.75" x14ac:dyDescent="0.25">
      <c r="A388" s="13" t="s">
        <v>240</v>
      </c>
      <c r="B388" s="278"/>
      <c r="C388" s="279"/>
      <c r="D388" s="278"/>
      <c r="E388" s="279"/>
      <c r="F388" s="329">
        <f>'платные на 2022-2023 год'!D98</f>
        <v>0</v>
      </c>
      <c r="G388" s="330"/>
    </row>
    <row r="389" spans="1:7" ht="18.75" x14ac:dyDescent="0.25">
      <c r="A389" s="13"/>
      <c r="B389" s="278"/>
      <c r="C389" s="279"/>
      <c r="D389" s="278"/>
      <c r="E389" s="279"/>
      <c r="F389" s="329"/>
      <c r="G389" s="330"/>
    </row>
    <row r="390" spans="1:7" ht="18.75" x14ac:dyDescent="0.25">
      <c r="A390" s="13" t="s">
        <v>241</v>
      </c>
      <c r="B390" s="278"/>
      <c r="C390" s="279"/>
      <c r="D390" s="278"/>
      <c r="E390" s="279"/>
      <c r="F390" s="329">
        <f>'платные на 2022-2023 год'!D99</f>
        <v>0</v>
      </c>
      <c r="G390" s="330"/>
    </row>
    <row r="391" spans="1:7" ht="18.75" x14ac:dyDescent="0.25">
      <c r="A391" s="13"/>
      <c r="B391" s="278"/>
      <c r="C391" s="279"/>
      <c r="D391" s="278"/>
      <c r="E391" s="279"/>
      <c r="F391" s="329"/>
      <c r="G391" s="330"/>
    </row>
    <row r="392" spans="1:7" ht="18.75" x14ac:dyDescent="0.25">
      <c r="A392" s="13" t="s">
        <v>242</v>
      </c>
      <c r="B392" s="278"/>
      <c r="C392" s="279"/>
      <c r="D392" s="278"/>
      <c r="E392" s="279"/>
      <c r="F392" s="329">
        <f>'платные на 2022-2023 год'!D100</f>
        <v>0</v>
      </c>
      <c r="G392" s="330"/>
    </row>
    <row r="393" spans="1:7" ht="18.75" x14ac:dyDescent="0.25">
      <c r="A393" s="13"/>
      <c r="B393" s="278"/>
      <c r="C393" s="279"/>
      <c r="D393" s="278"/>
      <c r="E393" s="279"/>
      <c r="F393" s="329"/>
      <c r="G393" s="330"/>
    </row>
    <row r="394" spans="1:7" ht="18.75" x14ac:dyDescent="0.25">
      <c r="A394" s="13" t="s">
        <v>243</v>
      </c>
      <c r="B394" s="278"/>
      <c r="C394" s="279"/>
      <c r="D394" s="278"/>
      <c r="E394" s="279"/>
      <c r="F394" s="329">
        <f>'платные на 2022-2023 год'!D102</f>
        <v>0</v>
      </c>
      <c r="G394" s="330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19"/>
      <c r="D397" s="219"/>
      <c r="E397" s="10"/>
      <c r="F397" s="219"/>
      <c r="G397" s="219"/>
    </row>
    <row r="398" spans="1:7" ht="18.75" x14ac:dyDescent="0.3">
      <c r="A398" s="29"/>
      <c r="B398" s="10"/>
      <c r="C398" s="218" t="s">
        <v>53</v>
      </c>
      <c r="D398" s="218"/>
      <c r="E398" s="10"/>
      <c r="F398" s="218" t="s">
        <v>54</v>
      </c>
      <c r="G398" s="218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19"/>
      <c r="D400" s="219"/>
      <c r="E400" s="10"/>
      <c r="F400" s="219"/>
      <c r="G400" s="219"/>
    </row>
    <row r="401" spans="1:7" ht="18.75" x14ac:dyDescent="0.3">
      <c r="A401" s="29"/>
      <c r="B401" s="10"/>
      <c r="C401" s="218" t="s">
        <v>53</v>
      </c>
      <c r="D401" s="218"/>
      <c r="E401" s="10"/>
      <c r="F401" s="218" t="s">
        <v>54</v>
      </c>
      <c r="G401" s="218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19"/>
      <c r="D403" s="219"/>
      <c r="E403" s="10"/>
      <c r="F403" s="219"/>
      <c r="G403" s="219"/>
    </row>
    <row r="404" spans="1:7" ht="18.75" x14ac:dyDescent="0.3">
      <c r="A404" s="29"/>
      <c r="B404" s="10"/>
      <c r="C404" s="218" t="s">
        <v>53</v>
      </c>
      <c r="D404" s="218"/>
      <c r="E404" s="10"/>
      <c r="F404" s="218" t="s">
        <v>54</v>
      </c>
      <c r="G404" s="218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17" t="s">
        <v>44</v>
      </c>
      <c r="B406" s="217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zoomScale="60" zoomScaleNormal="100" workbookViewId="0">
      <selection activeCell="F395" sqref="F395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2"/>
      <c r="F1" s="312"/>
      <c r="G1" s="312"/>
    </row>
    <row r="2" spans="1:11" ht="40.15" customHeight="1" x14ac:dyDescent="0.25">
      <c r="A2" s="284" t="s">
        <v>257</v>
      </c>
      <c r="B2" s="284"/>
      <c r="C2" s="284"/>
      <c r="D2" s="284"/>
      <c r="E2" s="284"/>
      <c r="F2" s="284"/>
      <c r="G2" s="284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4" t="s">
        <v>181</v>
      </c>
      <c r="B4" s="284"/>
      <c r="C4" s="284"/>
      <c r="D4" s="284"/>
      <c r="E4" s="284"/>
      <c r="F4" s="284"/>
      <c r="G4" s="284"/>
    </row>
    <row r="5" spans="1:11" ht="35.450000000000003" customHeight="1" x14ac:dyDescent="0.25">
      <c r="A5" s="284" t="s">
        <v>168</v>
      </c>
      <c r="B5" s="284"/>
      <c r="C5" s="284"/>
      <c r="D5" s="284"/>
      <c r="E5" s="284"/>
      <c r="F5" s="284"/>
      <c r="G5" s="284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70" t="s">
        <v>166</v>
      </c>
      <c r="C9" s="270"/>
      <c r="D9" s="270" t="s">
        <v>167</v>
      </c>
      <c r="E9" s="270"/>
      <c r="F9" s="270" t="s">
        <v>94</v>
      </c>
      <c r="G9" s="270"/>
      <c r="H9" s="50">
        <f>'платные на 2022-2023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70">
        <v>2</v>
      </c>
      <c r="C10" s="270"/>
      <c r="D10" s="270">
        <v>3</v>
      </c>
      <c r="E10" s="270"/>
      <c r="F10" s="270">
        <v>4</v>
      </c>
      <c r="G10" s="270"/>
      <c r="H10" s="50"/>
      <c r="I10" s="50"/>
      <c r="J10" s="50"/>
      <c r="K10" s="50"/>
    </row>
    <row r="11" spans="1:11" ht="37.5" x14ac:dyDescent="0.25">
      <c r="A11" s="13" t="s">
        <v>169</v>
      </c>
      <c r="B11" s="270"/>
      <c r="C11" s="270"/>
      <c r="D11" s="270"/>
      <c r="E11" s="270"/>
      <c r="F11" s="273">
        <f>'платные на 2022 год '!G12</f>
        <v>0</v>
      </c>
      <c r="G11" s="273"/>
    </row>
    <row r="12" spans="1:11" ht="18.75" x14ac:dyDescent="0.25">
      <c r="A12" s="13" t="s">
        <v>120</v>
      </c>
      <c r="B12" s="270"/>
      <c r="C12" s="270"/>
      <c r="D12" s="270"/>
      <c r="E12" s="270"/>
      <c r="F12" s="270"/>
      <c r="G12" s="270"/>
    </row>
    <row r="13" spans="1:11" ht="18.75" x14ac:dyDescent="0.25">
      <c r="A13" s="105"/>
    </row>
    <row r="14" spans="1:11" ht="43.9" customHeight="1" x14ac:dyDescent="0.25">
      <c r="A14" s="284" t="s">
        <v>174</v>
      </c>
      <c r="B14" s="284"/>
      <c r="C14" s="284"/>
      <c r="D14" s="284"/>
      <c r="E14" s="284"/>
      <c r="F14" s="284"/>
      <c r="G14" s="284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70" t="s">
        <v>172</v>
      </c>
      <c r="C18" s="270"/>
      <c r="D18" s="270" t="s">
        <v>173</v>
      </c>
      <c r="E18" s="270"/>
      <c r="F18" s="270" t="s">
        <v>171</v>
      </c>
      <c r="G18" s="270"/>
    </row>
    <row r="19" spans="1:11" ht="18.75" x14ac:dyDescent="0.25">
      <c r="A19" s="106">
        <v>1</v>
      </c>
      <c r="B19" s="270">
        <v>2</v>
      </c>
      <c r="C19" s="270"/>
      <c r="D19" s="270">
        <v>3</v>
      </c>
      <c r="E19" s="270"/>
      <c r="F19" s="270">
        <v>4</v>
      </c>
      <c r="G19" s="270"/>
    </row>
    <row r="20" spans="1:11" ht="112.5" x14ac:dyDescent="0.25">
      <c r="A20" s="13" t="s">
        <v>170</v>
      </c>
      <c r="B20" s="270" t="s">
        <v>117</v>
      </c>
      <c r="C20" s="270"/>
      <c r="D20" s="270" t="s">
        <v>117</v>
      </c>
      <c r="E20" s="270"/>
      <c r="F20" s="273">
        <v>0</v>
      </c>
      <c r="G20" s="273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70" t="s">
        <v>172</v>
      </c>
      <c r="C24" s="270"/>
      <c r="D24" s="270" t="s">
        <v>173</v>
      </c>
      <c r="E24" s="270"/>
      <c r="F24" s="270" t="s">
        <v>94</v>
      </c>
      <c r="G24" s="270"/>
    </row>
    <row r="25" spans="1:11" ht="18.75" x14ac:dyDescent="0.25">
      <c r="A25" s="106">
        <v>1</v>
      </c>
      <c r="B25" s="270">
        <v>2</v>
      </c>
      <c r="C25" s="270"/>
      <c r="D25" s="270">
        <v>3</v>
      </c>
      <c r="E25" s="270"/>
      <c r="F25" s="270">
        <v>4</v>
      </c>
      <c r="G25" s="270"/>
    </row>
    <row r="26" spans="1:11" ht="75" x14ac:dyDescent="0.25">
      <c r="A26" s="13" t="s">
        <v>164</v>
      </c>
      <c r="B26" s="270"/>
      <c r="C26" s="270"/>
      <c r="D26" s="270"/>
      <c r="E26" s="270"/>
      <c r="F26" s="273">
        <f>'платные на 2022-2023 год'!G13</f>
        <v>0</v>
      </c>
      <c r="G26" s="273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70" t="s">
        <v>172</v>
      </c>
      <c r="C30" s="270"/>
      <c r="D30" s="270" t="s">
        <v>173</v>
      </c>
      <c r="E30" s="270"/>
      <c r="F30" s="270" t="s">
        <v>183</v>
      </c>
      <c r="G30" s="270"/>
    </row>
    <row r="31" spans="1:11" ht="18.75" x14ac:dyDescent="0.25">
      <c r="A31" s="106">
        <v>1</v>
      </c>
      <c r="B31" s="270">
        <v>2</v>
      </c>
      <c r="C31" s="270"/>
      <c r="D31" s="270">
        <v>3</v>
      </c>
      <c r="E31" s="270"/>
      <c r="F31" s="270">
        <v>4</v>
      </c>
      <c r="G31" s="270"/>
    </row>
    <row r="32" spans="1:11" ht="93.75" x14ac:dyDescent="0.25">
      <c r="A32" s="13" t="s">
        <v>271</v>
      </c>
      <c r="B32" s="270" t="s">
        <v>117</v>
      </c>
      <c r="C32" s="270"/>
      <c r="D32" s="270" t="s">
        <v>117</v>
      </c>
      <c r="E32" s="270"/>
      <c r="F32" s="273">
        <f>'платные на 2022-2023 год'!G15</f>
        <v>0</v>
      </c>
      <c r="G32" s="273"/>
    </row>
    <row r="33" spans="1:7" ht="18.75" x14ac:dyDescent="0.25">
      <c r="A33" s="105"/>
    </row>
    <row r="34" spans="1:7" ht="18.75" x14ac:dyDescent="0.25">
      <c r="A34" s="284" t="s">
        <v>176</v>
      </c>
      <c r="B34" s="284"/>
      <c r="C34" s="284"/>
      <c r="D34" s="284"/>
      <c r="E34" s="284"/>
      <c r="F34" s="284"/>
      <c r="G34" s="284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0" t="s">
        <v>86</v>
      </c>
      <c r="B38" s="277"/>
      <c r="C38" s="251"/>
      <c r="D38" s="250" t="s">
        <v>165</v>
      </c>
      <c r="E38" s="277"/>
      <c r="F38" s="277"/>
      <c r="G38" s="251"/>
    </row>
    <row r="39" spans="1:7" ht="18.75" x14ac:dyDescent="0.25">
      <c r="A39" s="250">
        <v>1</v>
      </c>
      <c r="B39" s="277"/>
      <c r="C39" s="251"/>
      <c r="D39" s="250">
        <v>3</v>
      </c>
      <c r="E39" s="277"/>
      <c r="F39" s="277"/>
      <c r="G39" s="251"/>
    </row>
    <row r="40" spans="1:7" ht="18.75" x14ac:dyDescent="0.25">
      <c r="A40" s="248" t="s">
        <v>175</v>
      </c>
      <c r="B40" s="260"/>
      <c r="C40" s="249"/>
      <c r="D40" s="244">
        <f>'платные на 2022-2023 год'!G14</f>
        <v>0</v>
      </c>
      <c r="E40" s="305"/>
      <c r="F40" s="305"/>
      <c r="G40" s="245"/>
    </row>
    <row r="41" spans="1:7" ht="18.75" x14ac:dyDescent="0.25">
      <c r="A41" s="105"/>
    </row>
    <row r="42" spans="1:7" ht="18.75" x14ac:dyDescent="0.25">
      <c r="A42" s="284" t="s">
        <v>177</v>
      </c>
      <c r="B42" s="284"/>
      <c r="C42" s="284"/>
      <c r="D42" s="284"/>
      <c r="E42" s="284"/>
      <c r="F42" s="284"/>
      <c r="G42" s="284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70" t="s">
        <v>172</v>
      </c>
      <c r="C46" s="270"/>
      <c r="D46" s="270" t="s">
        <v>173</v>
      </c>
      <c r="E46" s="270"/>
      <c r="F46" s="270" t="s">
        <v>183</v>
      </c>
      <c r="G46" s="270"/>
    </row>
    <row r="47" spans="1:7" ht="18.75" x14ac:dyDescent="0.25">
      <c r="A47" s="106">
        <v>1</v>
      </c>
      <c r="B47" s="270">
        <v>2</v>
      </c>
      <c r="C47" s="270"/>
      <c r="D47" s="270">
        <v>3</v>
      </c>
      <c r="E47" s="270"/>
      <c r="F47" s="270">
        <v>4</v>
      </c>
      <c r="G47" s="270"/>
    </row>
    <row r="48" spans="1:7" ht="37.5" x14ac:dyDescent="0.25">
      <c r="A48" s="13" t="s">
        <v>272</v>
      </c>
      <c r="B48" s="270" t="s">
        <v>117</v>
      </c>
      <c r="C48" s="270"/>
      <c r="D48" s="270" t="s">
        <v>117</v>
      </c>
      <c r="E48" s="270"/>
      <c r="F48" s="273">
        <f>'платные на 2022-2023 год'!G16</f>
        <v>0</v>
      </c>
      <c r="G48" s="273"/>
    </row>
    <row r="49" spans="1:7" ht="18.75" x14ac:dyDescent="0.25">
      <c r="A49" s="105"/>
    </row>
    <row r="50" spans="1:7" ht="18.75" x14ac:dyDescent="0.25">
      <c r="A50" s="284" t="s">
        <v>187</v>
      </c>
      <c r="B50" s="284"/>
      <c r="C50" s="284"/>
      <c r="D50" s="284"/>
      <c r="E50" s="284"/>
      <c r="F50" s="284"/>
      <c r="G50" s="284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70" t="s">
        <v>172</v>
      </c>
      <c r="C54" s="270"/>
      <c r="D54" s="270" t="s">
        <v>173</v>
      </c>
      <c r="E54" s="270"/>
      <c r="F54" s="250" t="s">
        <v>171</v>
      </c>
      <c r="G54" s="251"/>
    </row>
    <row r="55" spans="1:7" ht="18.75" x14ac:dyDescent="0.25">
      <c r="A55" s="106">
        <v>1</v>
      </c>
      <c r="B55" s="270">
        <v>2</v>
      </c>
      <c r="C55" s="270"/>
      <c r="D55" s="270">
        <v>3</v>
      </c>
      <c r="E55" s="270"/>
      <c r="F55" s="270">
        <v>4</v>
      </c>
      <c r="G55" s="270"/>
    </row>
    <row r="56" spans="1:7" ht="58.9" customHeight="1" x14ac:dyDescent="0.25">
      <c r="A56" s="13" t="s">
        <v>184</v>
      </c>
      <c r="B56" s="270" t="s">
        <v>117</v>
      </c>
      <c r="C56" s="270"/>
      <c r="D56" s="270" t="s">
        <v>117</v>
      </c>
      <c r="E56" s="270"/>
      <c r="F56" s="273">
        <v>0</v>
      </c>
      <c r="G56" s="273"/>
    </row>
    <row r="57" spans="1:7" ht="18.75" x14ac:dyDescent="0.25">
      <c r="A57" s="105"/>
    </row>
    <row r="58" spans="1:7" ht="18.75" x14ac:dyDescent="0.25">
      <c r="A58" s="284" t="s">
        <v>178</v>
      </c>
      <c r="B58" s="284"/>
      <c r="C58" s="284"/>
      <c r="D58" s="284"/>
      <c r="E58" s="284"/>
      <c r="F58" s="284"/>
      <c r="G58" s="284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70" t="s">
        <v>142</v>
      </c>
      <c r="C62" s="270"/>
      <c r="D62" s="270" t="s">
        <v>182</v>
      </c>
      <c r="E62" s="270"/>
      <c r="F62" s="270" t="s">
        <v>94</v>
      </c>
      <c r="G62" s="270"/>
    </row>
    <row r="63" spans="1:7" ht="18.75" x14ac:dyDescent="0.25">
      <c r="A63" s="106">
        <v>1</v>
      </c>
      <c r="B63" s="270">
        <v>2</v>
      </c>
      <c r="C63" s="270"/>
      <c r="D63" s="270">
        <v>3</v>
      </c>
      <c r="E63" s="270"/>
      <c r="F63" s="270">
        <v>4</v>
      </c>
      <c r="G63" s="270"/>
    </row>
    <row r="64" spans="1:7" ht="56.25" x14ac:dyDescent="0.25">
      <c r="A64" s="13" t="s">
        <v>179</v>
      </c>
      <c r="B64" s="270" t="s">
        <v>117</v>
      </c>
      <c r="C64" s="270"/>
      <c r="D64" s="270" t="s">
        <v>117</v>
      </c>
      <c r="E64" s="270"/>
      <c r="F64" s="273">
        <f>'платные на 2022-2023 год'!G19</f>
        <v>0</v>
      </c>
      <c r="G64" s="273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70" t="s">
        <v>142</v>
      </c>
      <c r="C68" s="270"/>
      <c r="D68" s="270" t="s">
        <v>182</v>
      </c>
      <c r="E68" s="270"/>
      <c r="F68" s="270" t="s">
        <v>94</v>
      </c>
      <c r="G68" s="270"/>
    </row>
    <row r="69" spans="1:7" ht="18.75" x14ac:dyDescent="0.25">
      <c r="A69" s="106">
        <v>1</v>
      </c>
      <c r="B69" s="270">
        <v>2</v>
      </c>
      <c r="C69" s="270"/>
      <c r="D69" s="270">
        <v>3</v>
      </c>
      <c r="E69" s="270"/>
      <c r="F69" s="270">
        <v>4</v>
      </c>
      <c r="G69" s="270"/>
    </row>
    <row r="70" spans="1:7" ht="56.25" x14ac:dyDescent="0.25">
      <c r="A70" s="13" t="s">
        <v>179</v>
      </c>
      <c r="B70" s="270" t="s">
        <v>117</v>
      </c>
      <c r="C70" s="270"/>
      <c r="D70" s="270" t="s">
        <v>117</v>
      </c>
      <c r="E70" s="270"/>
      <c r="F70" s="273">
        <f>'платные на 2022-2023 год'!G20</f>
        <v>0</v>
      </c>
      <c r="G70" s="273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4" t="s">
        <v>254</v>
      </c>
      <c r="B72" s="284"/>
      <c r="C72" s="284"/>
      <c r="D72" s="284"/>
      <c r="E72" s="284"/>
      <c r="F72" s="284"/>
      <c r="G72" s="284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70" t="s">
        <v>142</v>
      </c>
      <c r="C76" s="270"/>
      <c r="D76" s="270" t="s">
        <v>182</v>
      </c>
      <c r="E76" s="270"/>
      <c r="F76" s="270" t="s">
        <v>94</v>
      </c>
      <c r="G76" s="270"/>
    </row>
    <row r="77" spans="1:7" ht="18.75" x14ac:dyDescent="0.25">
      <c r="A77" s="106">
        <v>1</v>
      </c>
      <c r="B77" s="270">
        <v>2</v>
      </c>
      <c r="C77" s="270"/>
      <c r="D77" s="270">
        <v>3</v>
      </c>
      <c r="E77" s="270"/>
      <c r="F77" s="270">
        <v>4</v>
      </c>
      <c r="G77" s="270"/>
    </row>
    <row r="78" spans="1:7" ht="150" x14ac:dyDescent="0.25">
      <c r="A78" s="13" t="s">
        <v>70</v>
      </c>
      <c r="B78" s="270" t="s">
        <v>117</v>
      </c>
      <c r="C78" s="270"/>
      <c r="D78" s="270" t="s">
        <v>117</v>
      </c>
      <c r="E78" s="270"/>
      <c r="F78" s="273">
        <f>'платные на 2022-2023 год'!G23</f>
        <v>0</v>
      </c>
      <c r="G78" s="273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70" t="s">
        <v>142</v>
      </c>
      <c r="C82" s="270"/>
      <c r="D82" s="270" t="s">
        <v>182</v>
      </c>
      <c r="E82" s="270"/>
      <c r="F82" s="270" t="s">
        <v>94</v>
      </c>
      <c r="G82" s="270"/>
    </row>
    <row r="83" spans="1:7" ht="18.75" x14ac:dyDescent="0.25">
      <c r="A83" s="106">
        <v>1</v>
      </c>
      <c r="B83" s="270">
        <v>2</v>
      </c>
      <c r="C83" s="270"/>
      <c r="D83" s="270">
        <v>3</v>
      </c>
      <c r="E83" s="270"/>
      <c r="F83" s="270">
        <v>4</v>
      </c>
      <c r="G83" s="270"/>
    </row>
    <row r="84" spans="1:7" ht="187.5" x14ac:dyDescent="0.25">
      <c r="A84" s="13" t="s">
        <v>273</v>
      </c>
      <c r="B84" s="270" t="s">
        <v>117</v>
      </c>
      <c r="C84" s="270"/>
      <c r="D84" s="270" t="s">
        <v>117</v>
      </c>
      <c r="E84" s="270"/>
      <c r="F84" s="273">
        <f>'платные на 2022-2023 год'!G24</f>
        <v>0</v>
      </c>
      <c r="G84" s="273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4" t="s">
        <v>260</v>
      </c>
      <c r="B86" s="284"/>
      <c r="C86" s="284"/>
      <c r="D86" s="284"/>
      <c r="E86" s="284"/>
      <c r="F86" s="284"/>
      <c r="G86" s="284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70" t="s">
        <v>142</v>
      </c>
      <c r="C90" s="270"/>
      <c r="D90" s="270" t="s">
        <v>182</v>
      </c>
      <c r="E90" s="270"/>
      <c r="F90" s="270" t="s">
        <v>94</v>
      </c>
      <c r="G90" s="270"/>
    </row>
    <row r="91" spans="1:7" ht="18.75" x14ac:dyDescent="0.25">
      <c r="A91" s="106">
        <v>1</v>
      </c>
      <c r="B91" s="270">
        <v>2</v>
      </c>
      <c r="C91" s="270"/>
      <c r="D91" s="270">
        <v>3</v>
      </c>
      <c r="E91" s="270"/>
      <c r="F91" s="270">
        <v>4</v>
      </c>
      <c r="G91" s="270"/>
    </row>
    <row r="92" spans="1:7" ht="37.5" x14ac:dyDescent="0.25">
      <c r="A92" s="103" t="s">
        <v>194</v>
      </c>
      <c r="B92" s="250" t="s">
        <v>117</v>
      </c>
      <c r="C92" s="251"/>
      <c r="D92" s="250" t="s">
        <v>117</v>
      </c>
      <c r="E92" s="251"/>
      <c r="F92" s="273">
        <f>'платные на 2022-2023 год'!G105</f>
        <v>0</v>
      </c>
      <c r="G92" s="270"/>
    </row>
    <row r="93" spans="1:7" ht="56.25" x14ac:dyDescent="0.25">
      <c r="A93" s="103" t="s">
        <v>195</v>
      </c>
      <c r="B93" s="250" t="s">
        <v>117</v>
      </c>
      <c r="C93" s="251"/>
      <c r="D93" s="250" t="s">
        <v>117</v>
      </c>
      <c r="E93" s="251"/>
      <c r="F93" s="273">
        <f>'платные на 2022-2023 год'!G106</f>
        <v>0</v>
      </c>
      <c r="G93" s="270"/>
    </row>
    <row r="94" spans="1:7" ht="57" thickBot="1" x14ac:dyDescent="0.3">
      <c r="A94" s="32" t="s">
        <v>196</v>
      </c>
      <c r="B94" s="250" t="s">
        <v>117</v>
      </c>
      <c r="C94" s="251"/>
      <c r="D94" s="250" t="s">
        <v>117</v>
      </c>
      <c r="E94" s="251"/>
      <c r="F94" s="273">
        <f>'платные на 2022-2023 год'!G107</f>
        <v>0</v>
      </c>
      <c r="G94" s="270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4" t="s">
        <v>188</v>
      </c>
      <c r="B96" s="284"/>
      <c r="C96" s="284"/>
      <c r="D96" s="284"/>
      <c r="E96" s="284"/>
      <c r="F96" s="284"/>
      <c r="G96" s="284"/>
    </row>
    <row r="97" spans="1:7" ht="18.75" x14ac:dyDescent="0.25">
      <c r="A97" s="8"/>
    </row>
    <row r="98" spans="1:7" ht="18.75" x14ac:dyDescent="0.25">
      <c r="A98" s="269" t="s">
        <v>189</v>
      </c>
      <c r="B98" s="269"/>
      <c r="C98" s="269"/>
      <c r="D98" s="269"/>
      <c r="E98" s="269"/>
      <c r="F98" s="269"/>
      <c r="G98" s="269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0" t="s">
        <v>76</v>
      </c>
      <c r="B102" s="270" t="s">
        <v>77</v>
      </c>
      <c r="C102" s="270" t="s">
        <v>78</v>
      </c>
      <c r="D102" s="270"/>
      <c r="E102" s="270"/>
      <c r="F102" s="270"/>
      <c r="G102" s="270" t="s">
        <v>79</v>
      </c>
    </row>
    <row r="103" spans="1:7" ht="18.75" x14ac:dyDescent="0.25">
      <c r="A103" s="270"/>
      <c r="B103" s="270"/>
      <c r="C103" s="270" t="s">
        <v>80</v>
      </c>
      <c r="D103" s="270" t="s">
        <v>6</v>
      </c>
      <c r="E103" s="270"/>
      <c r="F103" s="270"/>
      <c r="G103" s="270"/>
    </row>
    <row r="104" spans="1:7" ht="75" x14ac:dyDescent="0.25">
      <c r="A104" s="270"/>
      <c r="B104" s="270"/>
      <c r="C104" s="270"/>
      <c r="D104" s="12" t="s">
        <v>81</v>
      </c>
      <c r="E104" s="12" t="s">
        <v>82</v>
      </c>
      <c r="F104" s="12" t="s">
        <v>83</v>
      </c>
      <c r="G104" s="270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2022-2023 год'!G31+'платные на 2022-2023 год'!G66</f>
        <v>0</v>
      </c>
    </row>
    <row r="108" spans="1:7" ht="18.75" x14ac:dyDescent="0.25">
      <c r="A108" s="8"/>
    </row>
    <row r="109" spans="1:7" ht="18.75" x14ac:dyDescent="0.25">
      <c r="A109" s="269" t="s">
        <v>180</v>
      </c>
      <c r="B109" s="269"/>
      <c r="C109" s="269"/>
      <c r="D109" s="269"/>
      <c r="E109" s="269"/>
      <c r="F109" s="269"/>
      <c r="G109" s="269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70" t="s">
        <v>84</v>
      </c>
      <c r="B113" s="270" t="s">
        <v>244</v>
      </c>
      <c r="C113" s="270"/>
      <c r="D113" s="270" t="s">
        <v>185</v>
      </c>
      <c r="E113" s="270"/>
      <c r="F113" s="270" t="s">
        <v>85</v>
      </c>
      <c r="G113" s="270"/>
    </row>
    <row r="114" spans="1:7" ht="15" customHeight="1" x14ac:dyDescent="0.25">
      <c r="A114" s="270"/>
      <c r="B114" s="270"/>
      <c r="C114" s="270"/>
      <c r="D114" s="270"/>
      <c r="E114" s="270"/>
      <c r="F114" s="270"/>
      <c r="G114" s="270"/>
    </row>
    <row r="115" spans="1:7" ht="18.75" x14ac:dyDescent="0.25">
      <c r="A115" s="106">
        <v>1</v>
      </c>
      <c r="B115" s="270">
        <v>2</v>
      </c>
      <c r="C115" s="270"/>
      <c r="D115" s="270">
        <v>3</v>
      </c>
      <c r="E115" s="270"/>
      <c r="F115" s="270">
        <v>4</v>
      </c>
      <c r="G115" s="270"/>
    </row>
    <row r="116" spans="1:7" ht="18.75" x14ac:dyDescent="0.25">
      <c r="A116" s="13"/>
      <c r="B116" s="273">
        <f>'платные на 2022-2023 год'!G31+'платные на 2022-2023 год'!G33+'платные на 2022-2023 год'!G66</f>
        <v>0</v>
      </c>
      <c r="C116" s="273"/>
      <c r="D116" s="273">
        <f>G107</f>
        <v>0</v>
      </c>
      <c r="E116" s="273"/>
      <c r="F116" s="273">
        <f>B116-D116</f>
        <v>0</v>
      </c>
      <c r="G116" s="273"/>
    </row>
    <row r="117" spans="1:7" ht="18.75" x14ac:dyDescent="0.25">
      <c r="A117" s="8"/>
    </row>
    <row r="118" spans="1:7" ht="51" customHeight="1" x14ac:dyDescent="0.25">
      <c r="A118" s="271" t="s">
        <v>203</v>
      </c>
      <c r="B118" s="271"/>
      <c r="C118" s="271"/>
      <c r="D118" s="271"/>
      <c r="E118" s="271"/>
      <c r="F118" s="271"/>
      <c r="G118" s="271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70" t="s">
        <v>88</v>
      </c>
      <c r="D122" s="270"/>
      <c r="E122" s="106" t="s">
        <v>89</v>
      </c>
      <c r="F122" s="270" t="s">
        <v>90</v>
      </c>
      <c r="G122" s="270"/>
    </row>
    <row r="123" spans="1:7" ht="18.75" x14ac:dyDescent="0.25">
      <c r="A123" s="106">
        <v>1</v>
      </c>
      <c r="B123" s="106">
        <v>2</v>
      </c>
      <c r="C123" s="270">
        <v>3</v>
      </c>
      <c r="D123" s="270"/>
      <c r="E123" s="106">
        <v>4</v>
      </c>
      <c r="F123" s="270">
        <v>5</v>
      </c>
      <c r="G123" s="270"/>
    </row>
    <row r="124" spans="1:7" ht="18.75" x14ac:dyDescent="0.25">
      <c r="A124" s="13" t="s">
        <v>91</v>
      </c>
      <c r="B124" s="109"/>
      <c r="C124" s="270"/>
      <c r="D124" s="270"/>
      <c r="E124" s="14"/>
      <c r="F124" s="273">
        <f>'платные на 2022-2023 год'!G32</f>
        <v>0</v>
      </c>
      <c r="G124" s="273"/>
    </row>
    <row r="125" spans="1:7" ht="18.75" x14ac:dyDescent="0.25">
      <c r="A125" s="8"/>
    </row>
    <row r="126" spans="1:7" ht="33" customHeight="1" x14ac:dyDescent="0.25">
      <c r="A126" s="271" t="s">
        <v>227</v>
      </c>
      <c r="B126" s="271"/>
      <c r="C126" s="271"/>
      <c r="D126" s="271"/>
      <c r="E126" s="271"/>
      <c r="F126" s="271"/>
      <c r="G126" s="271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0" t="s">
        <v>229</v>
      </c>
      <c r="D130" s="277"/>
      <c r="E130" s="251"/>
      <c r="F130" s="270" t="s">
        <v>94</v>
      </c>
      <c r="G130" s="270"/>
    </row>
    <row r="131" spans="1:7" ht="18.75" x14ac:dyDescent="0.25">
      <c r="A131" s="106">
        <v>1</v>
      </c>
      <c r="B131" s="106">
        <v>2</v>
      </c>
      <c r="C131" s="250">
        <v>3</v>
      </c>
      <c r="D131" s="277"/>
      <c r="E131" s="251"/>
      <c r="F131" s="270">
        <v>4</v>
      </c>
      <c r="G131" s="270"/>
    </row>
    <row r="132" spans="1:7" ht="18.75" x14ac:dyDescent="0.25">
      <c r="A132" s="13"/>
      <c r="B132" s="109"/>
      <c r="C132" s="250"/>
      <c r="D132" s="277"/>
      <c r="E132" s="251"/>
      <c r="F132" s="273">
        <f>'платные на 2022-2023 год'!G35</f>
        <v>0</v>
      </c>
      <c r="G132" s="273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71" t="s">
        <v>204</v>
      </c>
      <c r="B134" s="271"/>
      <c r="C134" s="271"/>
      <c r="D134" s="271"/>
      <c r="E134" s="271"/>
      <c r="F134" s="271"/>
      <c r="G134" s="271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70" t="s">
        <v>86</v>
      </c>
      <c r="B138" s="270"/>
      <c r="C138" s="106" t="s">
        <v>92</v>
      </c>
      <c r="D138" s="270" t="s">
        <v>93</v>
      </c>
      <c r="E138" s="270"/>
      <c r="F138" s="270" t="s">
        <v>94</v>
      </c>
      <c r="G138" s="270"/>
    </row>
    <row r="139" spans="1:7" ht="18.75" x14ac:dyDescent="0.25">
      <c r="A139" s="250">
        <v>1</v>
      </c>
      <c r="B139" s="251"/>
      <c r="C139" s="106">
        <v>2</v>
      </c>
      <c r="D139" s="250">
        <v>3</v>
      </c>
      <c r="E139" s="251"/>
      <c r="F139" s="250">
        <v>4</v>
      </c>
      <c r="G139" s="251"/>
    </row>
    <row r="140" spans="1:7" ht="18.75" x14ac:dyDescent="0.25">
      <c r="A140" s="250"/>
      <c r="B140" s="251"/>
      <c r="C140" s="106"/>
      <c r="D140" s="250"/>
      <c r="E140" s="251"/>
      <c r="F140" s="244">
        <f>'платные на 2022-2023 год'!G41</f>
        <v>0</v>
      </c>
      <c r="G140" s="245"/>
    </row>
    <row r="141" spans="1:7" ht="18.75" x14ac:dyDescent="0.25">
      <c r="A141" s="8"/>
    </row>
    <row r="142" spans="1:7" ht="36.6" customHeight="1" x14ac:dyDescent="0.25">
      <c r="A142" s="271" t="s">
        <v>205</v>
      </c>
      <c r="B142" s="271"/>
      <c r="C142" s="271"/>
      <c r="D142" s="271"/>
      <c r="E142" s="271"/>
      <c r="F142" s="271"/>
      <c r="G142" s="271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70" t="s">
        <v>88</v>
      </c>
      <c r="D146" s="270"/>
      <c r="E146" s="106" t="s">
        <v>89</v>
      </c>
      <c r="F146" s="270" t="s">
        <v>90</v>
      </c>
      <c r="G146" s="270"/>
    </row>
    <row r="147" spans="1:7" ht="18.75" x14ac:dyDescent="0.25">
      <c r="A147" s="106">
        <v>1</v>
      </c>
      <c r="B147" s="106">
        <v>2</v>
      </c>
      <c r="C147" s="270">
        <v>3</v>
      </c>
      <c r="D147" s="270"/>
      <c r="E147" s="106">
        <v>4</v>
      </c>
      <c r="F147" s="270">
        <v>5</v>
      </c>
      <c r="G147" s="270"/>
    </row>
    <row r="148" spans="1:7" ht="37.5" x14ac:dyDescent="0.25">
      <c r="A148" s="13" t="s">
        <v>95</v>
      </c>
      <c r="B148" s="109"/>
      <c r="C148" s="270"/>
      <c r="D148" s="270"/>
      <c r="E148" s="14"/>
      <c r="F148" s="273">
        <f>'платные на 2022-2023 год'!G55</f>
        <v>0</v>
      </c>
      <c r="G148" s="273"/>
    </row>
    <row r="149" spans="1:7" ht="18.75" x14ac:dyDescent="0.25">
      <c r="A149" s="8"/>
    </row>
    <row r="150" spans="1:7" ht="41.45" customHeight="1" x14ac:dyDescent="0.25">
      <c r="A150" s="271" t="s">
        <v>206</v>
      </c>
      <c r="B150" s="271"/>
      <c r="C150" s="271"/>
      <c r="D150" s="271"/>
      <c r="E150" s="271"/>
      <c r="F150" s="271"/>
      <c r="G150" s="271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70" t="s">
        <v>97</v>
      </c>
      <c r="D154" s="270"/>
      <c r="E154" s="106" t="s">
        <v>89</v>
      </c>
      <c r="F154" s="270" t="s">
        <v>90</v>
      </c>
      <c r="G154" s="270"/>
    </row>
    <row r="155" spans="1:7" ht="18.75" x14ac:dyDescent="0.3">
      <c r="A155" s="106">
        <v>1</v>
      </c>
      <c r="B155" s="106">
        <v>2</v>
      </c>
      <c r="C155" s="270">
        <v>3</v>
      </c>
      <c r="D155" s="270"/>
      <c r="E155" s="106">
        <v>4</v>
      </c>
      <c r="F155" s="258">
        <v>5</v>
      </c>
      <c r="G155" s="259"/>
    </row>
    <row r="156" spans="1:7" ht="93.75" x14ac:dyDescent="0.25">
      <c r="A156" s="13" t="s">
        <v>98</v>
      </c>
      <c r="B156" s="107"/>
      <c r="C156" s="273"/>
      <c r="D156" s="273"/>
      <c r="E156" s="79"/>
      <c r="F156" s="294">
        <f>'платные на 2022-2023 год'!G56</f>
        <v>0</v>
      </c>
      <c r="G156" s="295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70" t="s">
        <v>97</v>
      </c>
      <c r="D160" s="270"/>
      <c r="E160" s="106" t="s">
        <v>89</v>
      </c>
      <c r="F160" s="270" t="s">
        <v>90</v>
      </c>
      <c r="G160" s="270"/>
    </row>
    <row r="161" spans="1:7" ht="18.75" x14ac:dyDescent="0.3">
      <c r="A161" s="106">
        <v>1</v>
      </c>
      <c r="B161" s="106">
        <v>2</v>
      </c>
      <c r="C161" s="270">
        <v>3</v>
      </c>
      <c r="D161" s="270"/>
      <c r="E161" s="106">
        <v>4</v>
      </c>
      <c r="F161" s="258">
        <v>5</v>
      </c>
      <c r="G161" s="259"/>
    </row>
    <row r="162" spans="1:7" ht="75" x14ac:dyDescent="0.25">
      <c r="A162" s="13" t="s">
        <v>157</v>
      </c>
      <c r="B162" s="107"/>
      <c r="C162" s="273"/>
      <c r="D162" s="273"/>
      <c r="E162" s="79"/>
      <c r="F162" s="294">
        <f>'платные на 2022-2023 год'!G57</f>
        <v>0</v>
      </c>
      <c r="G162" s="295"/>
    </row>
    <row r="163" spans="1:7" ht="18.75" x14ac:dyDescent="0.25">
      <c r="A163" s="13" t="s">
        <v>120</v>
      </c>
      <c r="B163" s="109"/>
      <c r="C163" s="250"/>
      <c r="D163" s="251"/>
      <c r="E163" s="14"/>
      <c r="F163" s="331"/>
      <c r="G163" s="333"/>
    </row>
    <row r="164" spans="1:7" ht="18.75" x14ac:dyDescent="0.25">
      <c r="A164" s="8"/>
    </row>
    <row r="165" spans="1:7" ht="36" customHeight="1" x14ac:dyDescent="0.25">
      <c r="A165" s="271" t="s">
        <v>207</v>
      </c>
      <c r="B165" s="271"/>
      <c r="C165" s="271"/>
      <c r="D165" s="271"/>
      <c r="E165" s="271"/>
      <c r="F165" s="271"/>
      <c r="G165" s="271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70" t="s">
        <v>99</v>
      </c>
      <c r="C169" s="270"/>
      <c r="D169" s="270" t="s">
        <v>100</v>
      </c>
      <c r="E169" s="270"/>
      <c r="F169" s="270" t="s">
        <v>101</v>
      </c>
      <c r="G169" s="270"/>
    </row>
    <row r="170" spans="1:7" ht="18.75" x14ac:dyDescent="0.3">
      <c r="A170" s="106">
        <v>1</v>
      </c>
      <c r="B170" s="250">
        <v>2</v>
      </c>
      <c r="C170" s="251"/>
      <c r="D170" s="250">
        <v>3</v>
      </c>
      <c r="E170" s="251"/>
      <c r="F170" s="258">
        <v>4</v>
      </c>
      <c r="G170" s="259"/>
    </row>
    <row r="171" spans="1:7" ht="93.75" x14ac:dyDescent="0.25">
      <c r="A171" s="13" t="s">
        <v>102</v>
      </c>
      <c r="B171" s="250"/>
      <c r="C171" s="251"/>
      <c r="D171" s="250"/>
      <c r="E171" s="251"/>
      <c r="F171" s="294">
        <f>'платные на 2022-2023 год'!G66</f>
        <v>0</v>
      </c>
      <c r="G171" s="295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70" t="s">
        <v>104</v>
      </c>
      <c r="E175" s="270"/>
      <c r="F175" s="270" t="s">
        <v>90</v>
      </c>
      <c r="G175" s="270"/>
    </row>
    <row r="176" spans="1:7" ht="18.75" x14ac:dyDescent="0.25">
      <c r="A176" s="106">
        <v>1</v>
      </c>
      <c r="B176" s="106">
        <v>2</v>
      </c>
      <c r="C176" s="106">
        <v>3</v>
      </c>
      <c r="D176" s="270">
        <v>4</v>
      </c>
      <c r="E176" s="270"/>
      <c r="F176" s="270">
        <v>5</v>
      </c>
      <c r="G176" s="270"/>
    </row>
    <row r="177" spans="1:7" ht="56.25" x14ac:dyDescent="0.25">
      <c r="A177" s="13" t="s">
        <v>105</v>
      </c>
      <c r="B177" s="109"/>
      <c r="C177" s="106"/>
      <c r="D177" s="250"/>
      <c r="E177" s="251"/>
      <c r="F177" s="244">
        <f>'платные на 2022-2023 год'!G68</f>
        <v>0</v>
      </c>
      <c r="G177" s="245"/>
    </row>
    <row r="178" spans="1:7" ht="18.75" x14ac:dyDescent="0.25">
      <c r="A178" s="8"/>
    </row>
    <row r="179" spans="1:7" ht="31.9" customHeight="1" x14ac:dyDescent="0.25">
      <c r="A179" s="269" t="s">
        <v>208</v>
      </c>
      <c r="B179" s="269"/>
      <c r="C179" s="269"/>
      <c r="D179" s="269"/>
      <c r="E179" s="269"/>
      <c r="F179" s="269"/>
      <c r="G179" s="269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70" t="s">
        <v>106</v>
      </c>
      <c r="C183" s="270"/>
      <c r="D183" s="270" t="s">
        <v>107</v>
      </c>
      <c r="E183" s="270"/>
      <c r="F183" s="270" t="s">
        <v>108</v>
      </c>
      <c r="G183" s="270"/>
    </row>
    <row r="184" spans="1:7" ht="18.75" x14ac:dyDescent="0.25">
      <c r="A184" s="106">
        <v>1</v>
      </c>
      <c r="B184" s="250">
        <v>2</v>
      </c>
      <c r="C184" s="251"/>
      <c r="D184" s="250">
        <v>3</v>
      </c>
      <c r="E184" s="251"/>
      <c r="F184" s="250">
        <v>4</v>
      </c>
      <c r="G184" s="251"/>
    </row>
    <row r="185" spans="1:7" ht="131.25" x14ac:dyDescent="0.25">
      <c r="A185" s="13" t="s">
        <v>27</v>
      </c>
      <c r="B185" s="270"/>
      <c r="C185" s="270"/>
      <c r="D185" s="270"/>
      <c r="E185" s="270"/>
      <c r="F185" s="273">
        <f>'платные на 2022-2023 год'!G63</f>
        <v>0</v>
      </c>
      <c r="G185" s="273"/>
    </row>
    <row r="186" spans="1:7" ht="18.75" x14ac:dyDescent="0.25">
      <c r="A186" s="13" t="s">
        <v>156</v>
      </c>
      <c r="B186" s="270"/>
      <c r="C186" s="270"/>
      <c r="D186" s="270"/>
      <c r="E186" s="270"/>
      <c r="F186" s="273"/>
      <c r="G186" s="273"/>
    </row>
    <row r="187" spans="1:7" ht="18.75" x14ac:dyDescent="0.25">
      <c r="A187" s="8"/>
    </row>
    <row r="188" spans="1:7" ht="34.9" customHeight="1" x14ac:dyDescent="0.25">
      <c r="A188" s="271" t="s">
        <v>226</v>
      </c>
      <c r="B188" s="271"/>
      <c r="C188" s="271"/>
      <c r="D188" s="271"/>
      <c r="E188" s="271"/>
      <c r="F188" s="271"/>
      <c r="G188" s="271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70" t="s">
        <v>109</v>
      </c>
      <c r="C191" s="270"/>
      <c r="D191" s="270" t="s">
        <v>110</v>
      </c>
      <c r="E191" s="270"/>
      <c r="F191" s="270" t="s">
        <v>111</v>
      </c>
      <c r="G191" s="270"/>
    </row>
    <row r="192" spans="1:7" ht="18.75" x14ac:dyDescent="0.25">
      <c r="A192" s="106">
        <v>1</v>
      </c>
      <c r="B192" s="250">
        <v>2</v>
      </c>
      <c r="C192" s="251"/>
      <c r="D192" s="278">
        <v>3</v>
      </c>
      <c r="E192" s="279"/>
      <c r="F192" s="278">
        <v>4</v>
      </c>
      <c r="G192" s="279"/>
    </row>
    <row r="193" spans="1:7" ht="37.5" x14ac:dyDescent="0.25">
      <c r="A193" s="13" t="s">
        <v>112</v>
      </c>
      <c r="B193" s="278"/>
      <c r="C193" s="279"/>
      <c r="D193" s="278"/>
      <c r="E193" s="279"/>
      <c r="F193" s="337">
        <f>'платные на 2022-2023 год'!G72</f>
        <v>0</v>
      </c>
      <c r="G193" s="338"/>
    </row>
    <row r="194" spans="1:7" ht="37.5" x14ac:dyDescent="0.25">
      <c r="A194" s="13" t="s">
        <v>113</v>
      </c>
      <c r="B194" s="278"/>
      <c r="C194" s="279"/>
      <c r="D194" s="278"/>
      <c r="E194" s="279"/>
      <c r="F194" s="339"/>
      <c r="G194" s="340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70" t="s">
        <v>109</v>
      </c>
      <c r="C198" s="270"/>
      <c r="D198" s="270" t="s">
        <v>110</v>
      </c>
      <c r="E198" s="270"/>
      <c r="F198" s="270" t="s">
        <v>115</v>
      </c>
      <c r="G198" s="270"/>
    </row>
    <row r="199" spans="1:7" ht="18.75" x14ac:dyDescent="0.3">
      <c r="A199" s="106">
        <v>1</v>
      </c>
      <c r="B199" s="250">
        <v>2</v>
      </c>
      <c r="C199" s="251"/>
      <c r="D199" s="250">
        <v>3</v>
      </c>
      <c r="E199" s="251"/>
      <c r="F199" s="258">
        <v>4</v>
      </c>
      <c r="G199" s="259"/>
    </row>
    <row r="200" spans="1:7" ht="39" customHeight="1" x14ac:dyDescent="0.25">
      <c r="A200" s="13" t="s">
        <v>116</v>
      </c>
      <c r="B200" s="250" t="s">
        <v>117</v>
      </c>
      <c r="C200" s="251"/>
      <c r="D200" s="250" t="s">
        <v>117</v>
      </c>
      <c r="E200" s="251"/>
      <c r="F200" s="294">
        <f>'платные на 2022-2023 год'!G73</f>
        <v>0</v>
      </c>
      <c r="G200" s="296"/>
    </row>
    <row r="201" spans="1:7" ht="18.75" x14ac:dyDescent="0.25">
      <c r="A201" s="13" t="s">
        <v>118</v>
      </c>
      <c r="B201" s="278"/>
      <c r="C201" s="279"/>
      <c r="D201" s="278"/>
      <c r="E201" s="279"/>
      <c r="F201" s="278"/>
      <c r="G201" s="279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70" t="s">
        <v>109</v>
      </c>
      <c r="C205" s="270"/>
      <c r="D205" s="270" t="s">
        <v>110</v>
      </c>
      <c r="E205" s="270"/>
      <c r="F205" s="270" t="s">
        <v>115</v>
      </c>
      <c r="G205" s="270"/>
    </row>
    <row r="206" spans="1:7" ht="18.75" x14ac:dyDescent="0.3">
      <c r="A206" s="106">
        <v>1</v>
      </c>
      <c r="B206" s="250">
        <v>2</v>
      </c>
      <c r="C206" s="251"/>
      <c r="D206" s="250">
        <v>3</v>
      </c>
      <c r="E206" s="251"/>
      <c r="F206" s="258">
        <v>4</v>
      </c>
      <c r="G206" s="259"/>
    </row>
    <row r="207" spans="1:7" ht="49.15" customHeight="1" x14ac:dyDescent="0.25">
      <c r="A207" s="13" t="s">
        <v>155</v>
      </c>
      <c r="B207" s="250" t="s">
        <v>117</v>
      </c>
      <c r="C207" s="251"/>
      <c r="D207" s="250" t="s">
        <v>117</v>
      </c>
      <c r="E207" s="251"/>
      <c r="F207" s="294">
        <f>'платные на 2022-2023 год'!G74</f>
        <v>0</v>
      </c>
      <c r="G207" s="295"/>
    </row>
    <row r="208" spans="1:7" ht="15" customHeight="1" x14ac:dyDescent="0.25">
      <c r="A208" s="13" t="s">
        <v>118</v>
      </c>
      <c r="B208" s="278"/>
      <c r="C208" s="279"/>
      <c r="D208" s="278"/>
      <c r="E208" s="279"/>
      <c r="F208" s="329"/>
      <c r="G208" s="330"/>
    </row>
    <row r="209" spans="1:7" ht="18.75" x14ac:dyDescent="0.25">
      <c r="A209" s="8"/>
    </row>
    <row r="210" spans="1:7" ht="45" customHeight="1" x14ac:dyDescent="0.25">
      <c r="A210" s="271" t="s">
        <v>209</v>
      </c>
      <c r="B210" s="271"/>
      <c r="C210" s="271"/>
      <c r="D210" s="271"/>
      <c r="E210" s="271"/>
      <c r="F210" s="271"/>
      <c r="G210" s="271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70" t="s">
        <v>106</v>
      </c>
      <c r="C214" s="270"/>
      <c r="D214" s="270" t="s">
        <v>107</v>
      </c>
      <c r="E214" s="270"/>
      <c r="F214" s="270" t="s">
        <v>108</v>
      </c>
      <c r="G214" s="270"/>
    </row>
    <row r="215" spans="1:7" ht="18.75" x14ac:dyDescent="0.25">
      <c r="A215" s="106">
        <v>1</v>
      </c>
      <c r="B215" s="270">
        <v>2</v>
      </c>
      <c r="C215" s="270"/>
      <c r="D215" s="270">
        <v>3</v>
      </c>
      <c r="E215" s="270"/>
      <c r="F215" s="270">
        <v>4</v>
      </c>
      <c r="G215" s="270"/>
    </row>
    <row r="216" spans="1:7" ht="18.75" x14ac:dyDescent="0.25">
      <c r="A216" s="13"/>
      <c r="B216" s="335"/>
      <c r="C216" s="335"/>
      <c r="D216" s="335"/>
      <c r="E216" s="335"/>
      <c r="F216" s="336">
        <f>'платные на 2022-2023 год'!G80</f>
        <v>0</v>
      </c>
      <c r="G216" s="336"/>
    </row>
    <row r="217" spans="1:7" ht="18.75" x14ac:dyDescent="0.25">
      <c r="A217" s="13"/>
      <c r="B217" s="335"/>
      <c r="C217" s="335"/>
      <c r="D217" s="335"/>
      <c r="E217" s="335"/>
      <c r="F217" s="336"/>
      <c r="G217" s="336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70" t="s">
        <v>106</v>
      </c>
      <c r="C221" s="270"/>
      <c r="D221" s="270" t="s">
        <v>107</v>
      </c>
      <c r="E221" s="270"/>
      <c r="F221" s="270" t="s">
        <v>108</v>
      </c>
      <c r="G221" s="270"/>
    </row>
    <row r="222" spans="1:7" ht="18" customHeight="1" x14ac:dyDescent="0.25">
      <c r="A222" s="106">
        <v>1</v>
      </c>
      <c r="B222" s="270">
        <v>2</v>
      </c>
      <c r="C222" s="270"/>
      <c r="D222" s="270">
        <v>3</v>
      </c>
      <c r="E222" s="270"/>
      <c r="F222" s="270">
        <v>4</v>
      </c>
      <c r="G222" s="270"/>
    </row>
    <row r="223" spans="1:7" ht="18" customHeight="1" x14ac:dyDescent="0.25">
      <c r="A223" s="13"/>
      <c r="B223" s="335"/>
      <c r="C223" s="335"/>
      <c r="D223" s="335"/>
      <c r="E223" s="335"/>
      <c r="F223" s="336">
        <f>'платные на 2022-2023 год'!G81</f>
        <v>0</v>
      </c>
      <c r="G223" s="336"/>
    </row>
    <row r="224" spans="1:7" ht="18" customHeight="1" x14ac:dyDescent="0.25">
      <c r="A224" s="13"/>
      <c r="B224" s="335"/>
      <c r="C224" s="335"/>
      <c r="D224" s="335"/>
      <c r="E224" s="335"/>
      <c r="F224" s="336"/>
      <c r="G224" s="336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70" t="s">
        <v>106</v>
      </c>
      <c r="C228" s="270"/>
      <c r="D228" s="270" t="s">
        <v>107</v>
      </c>
      <c r="E228" s="270"/>
      <c r="F228" s="270" t="s">
        <v>108</v>
      </c>
      <c r="G228" s="270"/>
    </row>
    <row r="229" spans="1:7" ht="18" customHeight="1" x14ac:dyDescent="0.25">
      <c r="A229" s="106">
        <v>1</v>
      </c>
      <c r="B229" s="270">
        <v>2</v>
      </c>
      <c r="C229" s="270"/>
      <c r="D229" s="270">
        <v>3</v>
      </c>
      <c r="E229" s="270"/>
      <c r="F229" s="270">
        <v>4</v>
      </c>
      <c r="G229" s="270"/>
    </row>
    <row r="230" spans="1:7" ht="18" customHeight="1" x14ac:dyDescent="0.25">
      <c r="A230" s="13"/>
      <c r="B230" s="335"/>
      <c r="C230" s="335"/>
      <c r="D230" s="335"/>
      <c r="E230" s="335"/>
      <c r="F230" s="336">
        <f>'платные на 2022-2023 год'!G82</f>
        <v>0</v>
      </c>
      <c r="G230" s="336"/>
    </row>
    <row r="231" spans="1:7" ht="18" customHeight="1" x14ac:dyDescent="0.25">
      <c r="A231" s="13"/>
      <c r="B231" s="335"/>
      <c r="C231" s="335"/>
      <c r="D231" s="335"/>
      <c r="E231" s="335"/>
      <c r="F231" s="336"/>
      <c r="G231" s="336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71" t="s">
        <v>213</v>
      </c>
      <c r="B233" s="271"/>
      <c r="C233" s="271"/>
      <c r="D233" s="271"/>
      <c r="E233" s="271"/>
      <c r="F233" s="271"/>
      <c r="G233" s="271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70" t="s">
        <v>109</v>
      </c>
      <c r="C236" s="270"/>
      <c r="D236" s="270" t="s">
        <v>110</v>
      </c>
      <c r="E236" s="270"/>
      <c r="F236" s="270" t="s">
        <v>111</v>
      </c>
      <c r="G236" s="270"/>
    </row>
    <row r="237" spans="1:7" ht="18" customHeight="1" x14ac:dyDescent="0.25">
      <c r="A237" s="106">
        <v>1</v>
      </c>
      <c r="B237" s="270">
        <v>2</v>
      </c>
      <c r="C237" s="270"/>
      <c r="D237" s="270">
        <v>3</v>
      </c>
      <c r="E237" s="270"/>
      <c r="F237" s="270">
        <v>4</v>
      </c>
      <c r="G237" s="270"/>
    </row>
    <row r="238" spans="1:7" ht="18" customHeight="1" x14ac:dyDescent="0.25">
      <c r="A238" s="106"/>
      <c r="B238" s="250"/>
      <c r="C238" s="251"/>
      <c r="D238" s="250"/>
      <c r="E238" s="251"/>
      <c r="F238" s="250"/>
      <c r="G238" s="251"/>
    </row>
    <row r="239" spans="1:7" ht="18" customHeight="1" x14ac:dyDescent="0.25">
      <c r="A239" s="106" t="s">
        <v>245</v>
      </c>
      <c r="B239" s="250"/>
      <c r="C239" s="251"/>
      <c r="D239" s="250"/>
      <c r="E239" s="251"/>
      <c r="F239" s="244">
        <f>'платные на 2022-2023 год'!G75</f>
        <v>0</v>
      </c>
      <c r="G239" s="251"/>
    </row>
    <row r="240" spans="1:7" ht="18" customHeight="1" x14ac:dyDescent="0.25">
      <c r="A240" s="106"/>
      <c r="B240" s="250"/>
      <c r="C240" s="251"/>
      <c r="D240" s="250"/>
      <c r="E240" s="251"/>
      <c r="F240" s="250"/>
      <c r="G240" s="251"/>
    </row>
    <row r="241" spans="1:7" ht="18" customHeight="1" x14ac:dyDescent="0.25">
      <c r="A241" s="106" t="s">
        <v>246</v>
      </c>
      <c r="B241" s="250"/>
      <c r="C241" s="251"/>
      <c r="D241" s="250"/>
      <c r="E241" s="251"/>
      <c r="F241" s="244">
        <f>'платные на 2022-2023 год'!G76</f>
        <v>0</v>
      </c>
      <c r="G241" s="251"/>
    </row>
    <row r="242" spans="1:7" ht="18" customHeight="1" x14ac:dyDescent="0.25">
      <c r="A242" s="106"/>
      <c r="B242" s="250"/>
      <c r="C242" s="251"/>
      <c r="D242" s="250"/>
      <c r="E242" s="251"/>
      <c r="F242" s="250"/>
      <c r="G242" s="251"/>
    </row>
    <row r="243" spans="1:7" ht="18" customHeight="1" x14ac:dyDescent="0.25">
      <c r="A243" s="106" t="s">
        <v>247</v>
      </c>
      <c r="B243" s="250"/>
      <c r="C243" s="251"/>
      <c r="D243" s="250"/>
      <c r="E243" s="251"/>
      <c r="F243" s="244">
        <f>'платные на 2022-2023 год'!G77</f>
        <v>0</v>
      </c>
      <c r="G243" s="251"/>
    </row>
    <row r="244" spans="1:7" ht="18" customHeight="1" x14ac:dyDescent="0.25">
      <c r="A244" s="106"/>
      <c r="B244" s="250"/>
      <c r="C244" s="251"/>
      <c r="D244" s="250"/>
      <c r="E244" s="251"/>
      <c r="F244" s="250"/>
      <c r="G244" s="251"/>
    </row>
    <row r="245" spans="1:7" ht="18" customHeight="1" x14ac:dyDescent="0.25">
      <c r="A245" s="106" t="s">
        <v>248</v>
      </c>
      <c r="B245" s="250"/>
      <c r="C245" s="251"/>
      <c r="D245" s="250"/>
      <c r="E245" s="251"/>
      <c r="F245" s="244">
        <f>'платные на 2022-2023 год'!G84</f>
        <v>0</v>
      </c>
      <c r="G245" s="251"/>
    </row>
    <row r="246" spans="1:7" ht="18" customHeight="1" x14ac:dyDescent="0.25">
      <c r="A246" s="106"/>
      <c r="B246" s="250"/>
      <c r="C246" s="251"/>
      <c r="D246" s="250"/>
      <c r="E246" s="251"/>
      <c r="F246" s="250"/>
      <c r="G246" s="251"/>
    </row>
    <row r="247" spans="1:7" ht="18" customHeight="1" x14ac:dyDescent="0.25">
      <c r="A247" s="106" t="s">
        <v>249</v>
      </c>
      <c r="B247" s="250"/>
      <c r="C247" s="251"/>
      <c r="D247" s="250"/>
      <c r="E247" s="251"/>
      <c r="F247" s="244">
        <f>'платные на 2022-2023 год'!G88</f>
        <v>0</v>
      </c>
      <c r="G247" s="251"/>
    </row>
    <row r="248" spans="1:7" ht="18" customHeight="1" x14ac:dyDescent="0.25">
      <c r="A248" s="13"/>
      <c r="B248" s="335"/>
      <c r="C248" s="335"/>
      <c r="D248" s="335"/>
      <c r="E248" s="335"/>
      <c r="F248" s="336"/>
      <c r="G248" s="336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71" t="s">
        <v>214</v>
      </c>
      <c r="B250" s="271"/>
      <c r="C250" s="271"/>
      <c r="D250" s="271"/>
      <c r="E250" s="271"/>
      <c r="F250" s="271"/>
      <c r="G250" s="271"/>
    </row>
    <row r="251" spans="1:7" ht="41.45" customHeight="1" x14ac:dyDescent="0.25">
      <c r="A251" s="272" t="s">
        <v>215</v>
      </c>
      <c r="B251" s="272"/>
      <c r="C251" s="272"/>
      <c r="D251" s="272"/>
      <c r="E251" s="272"/>
      <c r="F251" s="272"/>
      <c r="G251" s="272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70" t="s">
        <v>160</v>
      </c>
      <c r="C255" s="270"/>
      <c r="D255" s="270" t="s">
        <v>122</v>
      </c>
      <c r="E255" s="270"/>
      <c r="F255" s="270" t="s">
        <v>161</v>
      </c>
      <c r="G255" s="270"/>
    </row>
    <row r="256" spans="1:7" ht="28.9" customHeight="1" x14ac:dyDescent="0.25">
      <c r="A256" s="106">
        <v>1</v>
      </c>
      <c r="B256" s="250">
        <v>2</v>
      </c>
      <c r="C256" s="251"/>
      <c r="D256" s="250">
        <v>3</v>
      </c>
      <c r="E256" s="251"/>
      <c r="F256" s="278">
        <v>4</v>
      </c>
      <c r="G256" s="279"/>
    </row>
    <row r="257" spans="1:7" ht="28.9" customHeight="1" x14ac:dyDescent="0.25">
      <c r="A257" s="13" t="s">
        <v>159</v>
      </c>
      <c r="B257" s="278"/>
      <c r="C257" s="279"/>
      <c r="D257" s="278"/>
      <c r="E257" s="279"/>
      <c r="F257" s="329">
        <f>'платные на 2022-2023 год'!G36</f>
        <v>0</v>
      </c>
      <c r="G257" s="330"/>
    </row>
    <row r="258" spans="1:7" ht="28.9" customHeight="1" x14ac:dyDescent="0.25">
      <c r="A258" s="13" t="s">
        <v>120</v>
      </c>
      <c r="B258" s="278"/>
      <c r="C258" s="279"/>
      <c r="D258" s="278"/>
      <c r="E258" s="279"/>
      <c r="F258" s="329"/>
      <c r="G258" s="330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69" t="s">
        <v>216</v>
      </c>
      <c r="B260" s="269"/>
      <c r="C260" s="269"/>
      <c r="D260" s="269"/>
      <c r="E260" s="269"/>
      <c r="F260" s="269"/>
      <c r="G260" s="269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70" t="s">
        <v>121</v>
      </c>
      <c r="C264" s="270"/>
      <c r="D264" s="270" t="s">
        <v>122</v>
      </c>
      <c r="E264" s="270"/>
      <c r="F264" s="270" t="s">
        <v>186</v>
      </c>
      <c r="G264" s="270"/>
    </row>
    <row r="265" spans="1:7" ht="18.75" x14ac:dyDescent="0.25">
      <c r="A265" s="106">
        <v>1</v>
      </c>
      <c r="B265" s="250">
        <v>2</v>
      </c>
      <c r="C265" s="251"/>
      <c r="D265" s="250">
        <v>3</v>
      </c>
      <c r="E265" s="251"/>
      <c r="F265" s="278">
        <v>4</v>
      </c>
      <c r="G265" s="279"/>
    </row>
    <row r="266" spans="1:7" ht="37.5" x14ac:dyDescent="0.25">
      <c r="A266" s="13" t="s">
        <v>123</v>
      </c>
      <c r="B266" s="278"/>
      <c r="C266" s="279"/>
      <c r="D266" s="278"/>
      <c r="E266" s="279"/>
      <c r="F266" s="329">
        <f>'платные на 2022-2023 год'!G39</f>
        <v>0</v>
      </c>
      <c r="G266" s="330"/>
    </row>
    <row r="267" spans="1:7" ht="18.75" x14ac:dyDescent="0.25">
      <c r="A267" s="13" t="s">
        <v>124</v>
      </c>
      <c r="B267" s="278"/>
      <c r="C267" s="279"/>
      <c r="D267" s="278"/>
      <c r="E267" s="279"/>
      <c r="F267" s="329"/>
      <c r="G267" s="330"/>
    </row>
    <row r="268" spans="1:7" ht="18.75" x14ac:dyDescent="0.25">
      <c r="A268" s="13" t="s">
        <v>120</v>
      </c>
      <c r="B268" s="278"/>
      <c r="C268" s="279"/>
      <c r="D268" s="278"/>
      <c r="E268" s="279"/>
      <c r="F268" s="329"/>
      <c r="G268" s="330"/>
    </row>
    <row r="269" spans="1:7" x14ac:dyDescent="0.25">
      <c r="A269" s="23"/>
    </row>
    <row r="270" spans="1:7" ht="18.75" x14ac:dyDescent="0.25">
      <c r="A270" s="269" t="s">
        <v>217</v>
      </c>
      <c r="B270" s="269"/>
      <c r="C270" s="269"/>
      <c r="D270" s="269"/>
      <c r="E270" s="269"/>
      <c r="F270" s="269"/>
      <c r="G270" s="269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70" t="s">
        <v>125</v>
      </c>
      <c r="C274" s="270"/>
      <c r="D274" s="270" t="s">
        <v>93</v>
      </c>
      <c r="E274" s="270"/>
      <c r="F274" s="270" t="s">
        <v>186</v>
      </c>
      <c r="G274" s="270"/>
    </row>
    <row r="275" spans="1:7" ht="18.75" x14ac:dyDescent="0.25">
      <c r="A275" s="106">
        <v>1</v>
      </c>
      <c r="B275" s="250">
        <v>2</v>
      </c>
      <c r="C275" s="251"/>
      <c r="D275" s="250">
        <v>3</v>
      </c>
      <c r="E275" s="251"/>
      <c r="F275" s="250">
        <v>4</v>
      </c>
      <c r="G275" s="251"/>
    </row>
    <row r="276" spans="1:7" ht="18.75" x14ac:dyDescent="0.25">
      <c r="A276" s="13"/>
      <c r="B276" s="250"/>
      <c r="C276" s="251"/>
      <c r="D276" s="250"/>
      <c r="E276" s="251"/>
      <c r="F276" s="244">
        <f>'платные на 2022-2023 год'!G42</f>
        <v>0</v>
      </c>
      <c r="G276" s="245"/>
    </row>
    <row r="277" spans="1:7" ht="18.75" x14ac:dyDescent="0.25">
      <c r="A277" s="13" t="s">
        <v>120</v>
      </c>
      <c r="B277" s="250"/>
      <c r="C277" s="251"/>
      <c r="D277" s="250"/>
      <c r="E277" s="251"/>
      <c r="F277" s="244"/>
      <c r="G277" s="245"/>
    </row>
    <row r="278" spans="1:7" ht="18.75" x14ac:dyDescent="0.25">
      <c r="A278" s="8"/>
    </row>
    <row r="279" spans="1:7" ht="18.75" x14ac:dyDescent="0.25">
      <c r="A279" s="269" t="s">
        <v>218</v>
      </c>
      <c r="B279" s="269"/>
      <c r="C279" s="269"/>
      <c r="D279" s="269"/>
      <c r="E279" s="269"/>
      <c r="F279" s="269"/>
      <c r="G279" s="269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70" t="s">
        <v>126</v>
      </c>
      <c r="C283" s="270"/>
      <c r="D283" s="270" t="s">
        <v>127</v>
      </c>
      <c r="E283" s="270"/>
      <c r="F283" s="270" t="s">
        <v>94</v>
      </c>
      <c r="G283" s="270"/>
    </row>
    <row r="284" spans="1:7" ht="18.75" x14ac:dyDescent="0.25">
      <c r="A284" s="106">
        <v>1</v>
      </c>
      <c r="B284" s="250">
        <v>2</v>
      </c>
      <c r="C284" s="251"/>
      <c r="D284" s="250">
        <v>3</v>
      </c>
      <c r="E284" s="251"/>
      <c r="F284" s="250">
        <v>4</v>
      </c>
      <c r="G284" s="251"/>
    </row>
    <row r="285" spans="1:7" ht="75" x14ac:dyDescent="0.25">
      <c r="A285" s="13" t="s">
        <v>18</v>
      </c>
      <c r="B285" s="250"/>
      <c r="C285" s="251"/>
      <c r="D285" s="250"/>
      <c r="E285" s="251"/>
      <c r="F285" s="244">
        <f>'платные на 2022-2023 год'!G45</f>
        <v>0</v>
      </c>
      <c r="G285" s="245"/>
    </row>
    <row r="286" spans="1:7" ht="37.5" x14ac:dyDescent="0.25">
      <c r="A286" s="13" t="s">
        <v>19</v>
      </c>
      <c r="B286" s="250"/>
      <c r="C286" s="251"/>
      <c r="D286" s="250"/>
      <c r="E286" s="251"/>
      <c r="F286" s="244">
        <f>'платные на 2022-2023 год'!G46</f>
        <v>0</v>
      </c>
      <c r="G286" s="245"/>
    </row>
    <row r="287" spans="1:7" ht="75" x14ac:dyDescent="0.25">
      <c r="A287" s="13" t="s">
        <v>20</v>
      </c>
      <c r="B287" s="250"/>
      <c r="C287" s="251"/>
      <c r="D287" s="250"/>
      <c r="E287" s="251"/>
      <c r="F287" s="244">
        <f>'платные на 2022-2023 год'!G47</f>
        <v>0</v>
      </c>
      <c r="G287" s="245"/>
    </row>
    <row r="288" spans="1:7" ht="75" x14ac:dyDescent="0.25">
      <c r="A288" s="13" t="s">
        <v>21</v>
      </c>
      <c r="B288" s="250"/>
      <c r="C288" s="251"/>
      <c r="D288" s="250"/>
      <c r="E288" s="251"/>
      <c r="F288" s="244">
        <f>'платные на 2022-2023 год'!G48</f>
        <v>0</v>
      </c>
      <c r="G288" s="245"/>
    </row>
    <row r="289" spans="1:7" ht="56.25" x14ac:dyDescent="0.25">
      <c r="A289" s="24" t="s">
        <v>22</v>
      </c>
      <c r="B289" s="250"/>
      <c r="C289" s="251"/>
      <c r="D289" s="250"/>
      <c r="E289" s="251"/>
      <c r="F289" s="244">
        <f>'платные на 2022-2023 год'!G49</f>
        <v>0</v>
      </c>
      <c r="G289" s="245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34" t="s">
        <v>219</v>
      </c>
      <c r="B291" s="334"/>
      <c r="C291" s="334"/>
      <c r="D291" s="334"/>
      <c r="E291" s="334"/>
      <c r="F291" s="334"/>
      <c r="G291" s="334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70" t="s">
        <v>128</v>
      </c>
      <c r="C295" s="270"/>
      <c r="D295" s="270" t="s">
        <v>148</v>
      </c>
      <c r="E295" s="270"/>
      <c r="F295" s="270" t="s">
        <v>129</v>
      </c>
      <c r="G295" s="270"/>
    </row>
    <row r="296" spans="1:7" ht="18.75" x14ac:dyDescent="0.25">
      <c r="A296" s="106">
        <v>1</v>
      </c>
      <c r="B296" s="250">
        <v>2</v>
      </c>
      <c r="C296" s="251"/>
      <c r="D296" s="250">
        <v>3</v>
      </c>
      <c r="E296" s="251"/>
      <c r="F296" s="250">
        <v>4</v>
      </c>
      <c r="G296" s="251"/>
    </row>
    <row r="297" spans="1:7" ht="37.5" x14ac:dyDescent="0.25">
      <c r="A297" s="13" t="s">
        <v>130</v>
      </c>
      <c r="B297" s="250"/>
      <c r="C297" s="251"/>
      <c r="D297" s="250"/>
      <c r="E297" s="251"/>
      <c r="F297" s="244">
        <f>'платные на 2022-2023 год'!G50</f>
        <v>0</v>
      </c>
      <c r="G297" s="245"/>
    </row>
    <row r="298" spans="1:7" ht="18.75" x14ac:dyDescent="0.25">
      <c r="A298" s="13" t="s">
        <v>118</v>
      </c>
      <c r="B298" s="250"/>
      <c r="C298" s="251"/>
      <c r="D298" s="250"/>
      <c r="E298" s="251"/>
      <c r="F298" s="244"/>
      <c r="G298" s="245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72" t="s">
        <v>220</v>
      </c>
      <c r="B300" s="272"/>
      <c r="C300" s="272"/>
      <c r="D300" s="272"/>
      <c r="E300" s="272"/>
      <c r="F300" s="272"/>
      <c r="G300" s="272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70" t="s">
        <v>86</v>
      </c>
      <c r="B304" s="270"/>
      <c r="C304" s="270"/>
      <c r="D304" s="270" t="s">
        <v>131</v>
      </c>
      <c r="E304" s="270"/>
      <c r="F304" s="270" t="s">
        <v>132</v>
      </c>
      <c r="G304" s="270"/>
    </row>
    <row r="305" spans="1:7" ht="18.75" x14ac:dyDescent="0.3">
      <c r="A305" s="270">
        <v>1</v>
      </c>
      <c r="B305" s="270"/>
      <c r="C305" s="270"/>
      <c r="D305" s="258">
        <v>2</v>
      </c>
      <c r="E305" s="259"/>
      <c r="F305" s="258">
        <v>3</v>
      </c>
      <c r="G305" s="259"/>
    </row>
    <row r="306" spans="1:7" ht="43.15" customHeight="1" x14ac:dyDescent="0.25">
      <c r="A306" s="257" t="s">
        <v>163</v>
      </c>
      <c r="B306" s="257"/>
      <c r="C306" s="257"/>
      <c r="D306" s="274"/>
      <c r="E306" s="275"/>
      <c r="F306" s="294">
        <f>'платные на 2022-2023 год'!G52</f>
        <v>0</v>
      </c>
      <c r="G306" s="295"/>
    </row>
    <row r="307" spans="1:7" ht="18.75" x14ac:dyDescent="0.25">
      <c r="A307" s="248" t="s">
        <v>120</v>
      </c>
      <c r="B307" s="260"/>
      <c r="C307" s="249"/>
      <c r="D307" s="274"/>
      <c r="E307" s="275"/>
      <c r="F307" s="331"/>
      <c r="G307" s="333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70" t="s">
        <v>86</v>
      </c>
      <c r="B311" s="270"/>
      <c r="C311" s="270"/>
      <c r="D311" s="270" t="s">
        <v>131</v>
      </c>
      <c r="E311" s="270"/>
      <c r="F311" s="270" t="s">
        <v>132</v>
      </c>
      <c r="G311" s="270"/>
    </row>
    <row r="312" spans="1:7" ht="18.75" x14ac:dyDescent="0.3">
      <c r="A312" s="270">
        <v>1</v>
      </c>
      <c r="B312" s="270"/>
      <c r="C312" s="270"/>
      <c r="D312" s="258">
        <v>2</v>
      </c>
      <c r="E312" s="259"/>
      <c r="F312" s="258">
        <v>3</v>
      </c>
      <c r="G312" s="259"/>
    </row>
    <row r="313" spans="1:7" ht="34.15" customHeight="1" x14ac:dyDescent="0.25">
      <c r="A313" s="257" t="s">
        <v>133</v>
      </c>
      <c r="B313" s="257"/>
      <c r="C313" s="257"/>
      <c r="D313" s="274"/>
      <c r="E313" s="275"/>
      <c r="F313" s="294">
        <f>'платные на 2022-2023 год'!G53</f>
        <v>0</v>
      </c>
      <c r="G313" s="295"/>
    </row>
    <row r="314" spans="1:7" ht="34.15" customHeight="1" x14ac:dyDescent="0.25">
      <c r="A314" s="257" t="s">
        <v>134</v>
      </c>
      <c r="B314" s="257"/>
      <c r="C314" s="257"/>
      <c r="D314" s="274"/>
      <c r="E314" s="275"/>
      <c r="F314" s="331"/>
      <c r="G314" s="333"/>
    </row>
    <row r="315" spans="1:7" ht="34.15" customHeight="1" x14ac:dyDescent="0.25">
      <c r="A315" s="257" t="s">
        <v>135</v>
      </c>
      <c r="B315" s="257"/>
      <c r="C315" s="257"/>
      <c r="D315" s="274"/>
      <c r="E315" s="275"/>
      <c r="F315" s="331"/>
      <c r="G315" s="333"/>
    </row>
    <row r="316" spans="1:7" ht="34.15" customHeight="1" x14ac:dyDescent="0.25">
      <c r="A316" s="257" t="s">
        <v>136</v>
      </c>
      <c r="B316" s="257"/>
      <c r="C316" s="257"/>
      <c r="D316" s="274"/>
      <c r="E316" s="275"/>
      <c r="F316" s="331"/>
      <c r="G316" s="333"/>
    </row>
    <row r="317" spans="1:7" ht="18.75" x14ac:dyDescent="0.25">
      <c r="A317" s="248" t="s">
        <v>120</v>
      </c>
      <c r="B317" s="260"/>
      <c r="C317" s="249"/>
      <c r="D317" s="274"/>
      <c r="E317" s="275"/>
      <c r="F317" s="331"/>
      <c r="G317" s="333"/>
    </row>
    <row r="318" spans="1:7" ht="18.75" x14ac:dyDescent="0.25">
      <c r="A318" s="29"/>
    </row>
    <row r="319" spans="1:7" ht="18.75" x14ac:dyDescent="0.25">
      <c r="A319" s="269" t="s">
        <v>221</v>
      </c>
      <c r="B319" s="269"/>
      <c r="C319" s="269"/>
      <c r="D319" s="269"/>
      <c r="E319" s="269"/>
      <c r="F319" s="269"/>
      <c r="G319" s="269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70" t="s">
        <v>86</v>
      </c>
      <c r="B323" s="270"/>
      <c r="C323" s="270"/>
      <c r="D323" s="270" t="s">
        <v>137</v>
      </c>
      <c r="E323" s="270"/>
      <c r="F323" s="270" t="s">
        <v>138</v>
      </c>
      <c r="G323" s="270"/>
    </row>
    <row r="324" spans="1:7" ht="18.75" x14ac:dyDescent="0.3">
      <c r="A324" s="250">
        <v>1</v>
      </c>
      <c r="B324" s="277"/>
      <c r="C324" s="251"/>
      <c r="D324" s="258">
        <v>2</v>
      </c>
      <c r="E324" s="259"/>
      <c r="F324" s="258">
        <v>3</v>
      </c>
      <c r="G324" s="259"/>
    </row>
    <row r="325" spans="1:7" ht="38.450000000000003" customHeight="1" x14ac:dyDescent="0.25">
      <c r="A325" s="248" t="s">
        <v>162</v>
      </c>
      <c r="B325" s="260"/>
      <c r="C325" s="249"/>
      <c r="D325" s="274"/>
      <c r="E325" s="275"/>
      <c r="F325" s="294">
        <f>'платные на 2022-2023 год'!G58</f>
        <v>0</v>
      </c>
      <c r="G325" s="295"/>
    </row>
    <row r="326" spans="1:7" ht="18.75" x14ac:dyDescent="0.25">
      <c r="A326" s="248" t="s">
        <v>120</v>
      </c>
      <c r="B326" s="260"/>
      <c r="C326" s="249"/>
      <c r="D326" s="274"/>
      <c r="E326" s="275"/>
      <c r="F326" s="331"/>
      <c r="G326" s="333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70" t="s">
        <v>86</v>
      </c>
      <c r="B330" s="270"/>
      <c r="C330" s="270"/>
      <c r="D330" s="270" t="s">
        <v>137</v>
      </c>
      <c r="E330" s="270"/>
      <c r="F330" s="270" t="s">
        <v>138</v>
      </c>
      <c r="G330" s="270"/>
    </row>
    <row r="331" spans="1:7" ht="18.75" x14ac:dyDescent="0.3">
      <c r="A331" s="250">
        <v>1</v>
      </c>
      <c r="B331" s="277"/>
      <c r="C331" s="251"/>
      <c r="D331" s="258">
        <v>2</v>
      </c>
      <c r="E331" s="259"/>
      <c r="F331" s="258">
        <v>3</v>
      </c>
      <c r="G331" s="259"/>
    </row>
    <row r="332" spans="1:7" ht="18.75" x14ac:dyDescent="0.25">
      <c r="A332" s="248" t="s">
        <v>139</v>
      </c>
      <c r="B332" s="260"/>
      <c r="C332" s="249"/>
      <c r="D332" s="274"/>
      <c r="E332" s="275"/>
      <c r="F332" s="294">
        <f>'платные на 2022-2023 год'!G59</f>
        <v>0</v>
      </c>
      <c r="G332" s="295"/>
    </row>
    <row r="333" spans="1:7" ht="18.75" x14ac:dyDescent="0.25">
      <c r="A333" s="248" t="s">
        <v>140</v>
      </c>
      <c r="B333" s="260"/>
      <c r="C333" s="249"/>
      <c r="D333" s="274"/>
      <c r="E333" s="275"/>
      <c r="F333" s="294"/>
      <c r="G333" s="295"/>
    </row>
    <row r="334" spans="1:7" ht="18.75" x14ac:dyDescent="0.25">
      <c r="A334" s="248" t="s">
        <v>141</v>
      </c>
      <c r="B334" s="260"/>
      <c r="C334" s="249"/>
      <c r="D334" s="274"/>
      <c r="E334" s="275"/>
      <c r="F334" s="331"/>
      <c r="G334" s="333"/>
    </row>
    <row r="335" spans="1:7" ht="18.75" x14ac:dyDescent="0.25">
      <c r="A335" s="248" t="s">
        <v>120</v>
      </c>
      <c r="B335" s="260"/>
      <c r="C335" s="249"/>
      <c r="D335" s="274"/>
      <c r="E335" s="275"/>
      <c r="F335" s="331"/>
      <c r="G335" s="333"/>
    </row>
    <row r="336" spans="1:7" ht="18.75" x14ac:dyDescent="0.25">
      <c r="A336" s="8"/>
    </row>
    <row r="337" spans="1:7" ht="18.75" x14ac:dyDescent="0.25">
      <c r="A337" s="269" t="s">
        <v>222</v>
      </c>
      <c r="B337" s="269"/>
      <c r="C337" s="269"/>
      <c r="D337" s="269"/>
      <c r="E337" s="269"/>
      <c r="F337" s="269"/>
      <c r="G337" s="269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0" t="s">
        <v>86</v>
      </c>
      <c r="B341" s="251"/>
      <c r="C341" s="250" t="s">
        <v>137</v>
      </c>
      <c r="D341" s="251"/>
      <c r="E341" s="250" t="s">
        <v>138</v>
      </c>
      <c r="F341" s="277"/>
      <c r="G341" s="251"/>
    </row>
    <row r="342" spans="1:7" ht="18.75" x14ac:dyDescent="0.3">
      <c r="A342" s="250">
        <v>1</v>
      </c>
      <c r="B342" s="251"/>
      <c r="C342" s="250">
        <v>2</v>
      </c>
      <c r="D342" s="251"/>
      <c r="E342" s="258">
        <v>3</v>
      </c>
      <c r="F342" s="276"/>
      <c r="G342" s="259"/>
    </row>
    <row r="343" spans="1:7" ht="18.75" x14ac:dyDescent="0.25">
      <c r="A343" s="248" t="s">
        <v>25</v>
      </c>
      <c r="B343" s="249"/>
      <c r="C343" s="250"/>
      <c r="D343" s="251"/>
      <c r="E343" s="331">
        <f>'платные на 2022-2023 год'!G60</f>
        <v>0</v>
      </c>
      <c r="F343" s="332"/>
      <c r="G343" s="333"/>
    </row>
    <row r="344" spans="1:7" ht="18.75" x14ac:dyDescent="0.25">
      <c r="A344" s="248" t="s">
        <v>120</v>
      </c>
      <c r="B344" s="249"/>
      <c r="C344" s="250"/>
      <c r="D344" s="251"/>
      <c r="E344" s="331"/>
      <c r="F344" s="332"/>
      <c r="G344" s="333"/>
    </row>
    <row r="345" spans="1:7" x14ac:dyDescent="0.25">
      <c r="A345" s="23"/>
    </row>
    <row r="346" spans="1:7" ht="43.15" customHeight="1" x14ac:dyDescent="0.25">
      <c r="A346" s="271" t="s">
        <v>223</v>
      </c>
      <c r="B346" s="271"/>
      <c r="C346" s="271"/>
      <c r="D346" s="271"/>
      <c r="E346" s="271"/>
      <c r="F346" s="271"/>
      <c r="G346" s="271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70" t="s">
        <v>142</v>
      </c>
      <c r="C350" s="270"/>
      <c r="D350" s="270" t="s">
        <v>143</v>
      </c>
      <c r="E350" s="270"/>
      <c r="F350" s="270" t="s">
        <v>149</v>
      </c>
      <c r="G350" s="270"/>
    </row>
    <row r="351" spans="1:7" ht="18.75" x14ac:dyDescent="0.25">
      <c r="A351" s="106">
        <v>1</v>
      </c>
      <c r="B351" s="250">
        <v>2</v>
      </c>
      <c r="C351" s="251"/>
      <c r="D351" s="250">
        <v>3</v>
      </c>
      <c r="E351" s="251"/>
      <c r="F351" s="250">
        <v>4</v>
      </c>
      <c r="G351" s="251"/>
    </row>
    <row r="352" spans="1:7" ht="18.75" x14ac:dyDescent="0.25">
      <c r="A352" s="106"/>
      <c r="B352" s="250"/>
      <c r="C352" s="251"/>
      <c r="D352" s="250"/>
      <c r="E352" s="251"/>
      <c r="F352" s="244"/>
      <c r="G352" s="245"/>
    </row>
    <row r="353" spans="1:7" ht="18.75" x14ac:dyDescent="0.25">
      <c r="A353" s="112" t="s">
        <v>248</v>
      </c>
      <c r="B353" s="250"/>
      <c r="C353" s="251"/>
      <c r="D353" s="250"/>
      <c r="E353" s="251"/>
      <c r="F353" s="244">
        <f>'платные на 2022-2023 год'!G79</f>
        <v>0</v>
      </c>
      <c r="G353" s="245"/>
    </row>
    <row r="354" spans="1:7" ht="18.75" x14ac:dyDescent="0.25">
      <c r="A354" s="112"/>
      <c r="B354" s="250"/>
      <c r="C354" s="251"/>
      <c r="D354" s="250"/>
      <c r="E354" s="251"/>
      <c r="F354" s="244"/>
      <c r="G354" s="245"/>
    </row>
    <row r="355" spans="1:7" ht="18.75" x14ac:dyDescent="0.25">
      <c r="A355" s="13" t="s">
        <v>249</v>
      </c>
      <c r="B355" s="250"/>
      <c r="C355" s="251"/>
      <c r="D355" s="250"/>
      <c r="E355" s="251"/>
      <c r="F355" s="244">
        <f>'платные на 2022-2023 год'!G86</f>
        <v>0</v>
      </c>
      <c r="G355" s="245"/>
    </row>
    <row r="356" spans="1:7" ht="18.75" x14ac:dyDescent="0.25">
      <c r="A356" s="8"/>
    </row>
    <row r="357" spans="1:7" ht="18.75" x14ac:dyDescent="0.25">
      <c r="A357" s="269" t="s">
        <v>224</v>
      </c>
      <c r="B357" s="269"/>
      <c r="C357" s="269"/>
      <c r="D357" s="269"/>
      <c r="E357" s="269"/>
      <c r="F357" s="269"/>
      <c r="G357" s="269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70" t="s">
        <v>142</v>
      </c>
      <c r="C361" s="270"/>
      <c r="D361" s="270" t="s">
        <v>143</v>
      </c>
      <c r="E361" s="270"/>
      <c r="F361" s="270" t="s">
        <v>150</v>
      </c>
      <c r="G361" s="270"/>
    </row>
    <row r="362" spans="1:7" ht="18.75" x14ac:dyDescent="0.25">
      <c r="A362" s="106">
        <v>1</v>
      </c>
      <c r="B362" s="250">
        <v>2</v>
      </c>
      <c r="C362" s="251"/>
      <c r="D362" s="250">
        <v>3</v>
      </c>
      <c r="E362" s="251"/>
      <c r="F362" s="250">
        <v>4</v>
      </c>
      <c r="G362" s="251"/>
    </row>
    <row r="363" spans="1:7" ht="56.25" x14ac:dyDescent="0.25">
      <c r="A363" s="13" t="s">
        <v>144</v>
      </c>
      <c r="B363" s="250"/>
      <c r="C363" s="251"/>
      <c r="D363" s="250"/>
      <c r="E363" s="251"/>
      <c r="F363" s="244">
        <f>'платные на 2022-2023 год'!G91</f>
        <v>0</v>
      </c>
      <c r="G363" s="245"/>
    </row>
    <row r="364" spans="1:7" ht="18.75" x14ac:dyDescent="0.25">
      <c r="A364" s="13" t="s">
        <v>120</v>
      </c>
      <c r="B364" s="250"/>
      <c r="C364" s="251"/>
      <c r="D364" s="250"/>
      <c r="E364" s="251"/>
      <c r="F364" s="244"/>
      <c r="G364" s="245"/>
    </row>
    <row r="365" spans="1:7" ht="18.75" x14ac:dyDescent="0.25">
      <c r="A365" s="8"/>
    </row>
    <row r="366" spans="1:7" ht="28.15" customHeight="1" x14ac:dyDescent="0.25">
      <c r="A366" s="269" t="s">
        <v>250</v>
      </c>
      <c r="B366" s="269"/>
      <c r="C366" s="269"/>
      <c r="D366" s="269"/>
      <c r="E366" s="269"/>
      <c r="F366" s="269"/>
      <c r="G366" s="269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70" t="s">
        <v>142</v>
      </c>
      <c r="C370" s="270"/>
      <c r="D370" s="270" t="s">
        <v>143</v>
      </c>
      <c r="E370" s="270"/>
      <c r="F370" s="270" t="s">
        <v>150</v>
      </c>
      <c r="G370" s="270"/>
    </row>
    <row r="371" spans="1:7" ht="18.75" x14ac:dyDescent="0.25">
      <c r="A371" s="106">
        <v>1</v>
      </c>
      <c r="B371" s="250">
        <v>2</v>
      </c>
      <c r="C371" s="251"/>
      <c r="D371" s="250">
        <v>3</v>
      </c>
      <c r="E371" s="251"/>
      <c r="F371" s="250">
        <v>4</v>
      </c>
      <c r="G371" s="251"/>
    </row>
    <row r="372" spans="1:7" ht="18.75" x14ac:dyDescent="0.25">
      <c r="A372" s="13"/>
      <c r="B372" s="250"/>
      <c r="C372" s="251"/>
      <c r="D372" s="250"/>
      <c r="E372" s="251"/>
      <c r="F372" s="244">
        <f>'платные на 2022-2023 год'!G92</f>
        <v>0</v>
      </c>
      <c r="G372" s="245"/>
    </row>
    <row r="373" spans="1:7" ht="18.75" x14ac:dyDescent="0.25">
      <c r="A373" s="13" t="s">
        <v>120</v>
      </c>
      <c r="B373" s="250"/>
      <c r="C373" s="251"/>
      <c r="D373" s="250"/>
      <c r="E373" s="251"/>
      <c r="F373" s="244"/>
      <c r="G373" s="245"/>
    </row>
    <row r="374" spans="1:7" ht="18.75" x14ac:dyDescent="0.25">
      <c r="A374" s="8"/>
    </row>
    <row r="375" spans="1:7" ht="31.9" customHeight="1" x14ac:dyDescent="0.25">
      <c r="A375" s="271" t="s">
        <v>251</v>
      </c>
      <c r="B375" s="271"/>
      <c r="C375" s="271"/>
      <c r="D375" s="271"/>
      <c r="E375" s="271"/>
      <c r="F375" s="271"/>
      <c r="G375" s="271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70" t="s">
        <v>142</v>
      </c>
      <c r="C379" s="270"/>
      <c r="D379" s="270" t="s">
        <v>143</v>
      </c>
      <c r="E379" s="270"/>
      <c r="F379" s="270" t="s">
        <v>150</v>
      </c>
      <c r="G379" s="270"/>
    </row>
    <row r="380" spans="1:7" ht="18.75" x14ac:dyDescent="0.25">
      <c r="A380" s="106">
        <v>1</v>
      </c>
      <c r="B380" s="250">
        <v>2</v>
      </c>
      <c r="C380" s="251"/>
      <c r="D380" s="250">
        <v>3</v>
      </c>
      <c r="E380" s="251"/>
      <c r="F380" s="250">
        <v>4</v>
      </c>
      <c r="G380" s="251"/>
    </row>
    <row r="381" spans="1:7" ht="18.75" x14ac:dyDescent="0.25">
      <c r="A381" s="13"/>
      <c r="B381" s="278"/>
      <c r="C381" s="279"/>
      <c r="D381" s="278"/>
      <c r="E381" s="279"/>
      <c r="F381" s="329"/>
      <c r="G381" s="330"/>
    </row>
    <row r="382" spans="1:7" ht="18.75" x14ac:dyDescent="0.25">
      <c r="A382" s="13" t="s">
        <v>237</v>
      </c>
      <c r="B382" s="278"/>
      <c r="C382" s="279"/>
      <c r="D382" s="278"/>
      <c r="E382" s="279"/>
      <c r="F382" s="329">
        <f>'платные на 2022-2023 год'!G95</f>
        <v>0</v>
      </c>
      <c r="G382" s="330"/>
    </row>
    <row r="383" spans="1:7" ht="18.75" x14ac:dyDescent="0.25">
      <c r="A383" s="13"/>
      <c r="B383" s="278"/>
      <c r="C383" s="279"/>
      <c r="D383" s="278"/>
      <c r="E383" s="279"/>
      <c r="F383" s="329"/>
      <c r="G383" s="330"/>
    </row>
    <row r="384" spans="1:7" ht="18.75" x14ac:dyDescent="0.25">
      <c r="A384" s="13" t="s">
        <v>238</v>
      </c>
      <c r="B384" s="278"/>
      <c r="C384" s="279"/>
      <c r="D384" s="278"/>
      <c r="E384" s="279"/>
      <c r="F384" s="329">
        <f>'платные на 2022-2023 год'!G96</f>
        <v>0</v>
      </c>
      <c r="G384" s="330"/>
    </row>
    <row r="385" spans="1:7" ht="18.75" x14ac:dyDescent="0.25">
      <c r="A385" s="13"/>
      <c r="B385" s="278"/>
      <c r="C385" s="279"/>
      <c r="D385" s="278"/>
      <c r="E385" s="279"/>
      <c r="F385" s="329"/>
      <c r="G385" s="330"/>
    </row>
    <row r="386" spans="1:7" ht="18.75" x14ac:dyDescent="0.25">
      <c r="A386" s="13" t="s">
        <v>239</v>
      </c>
      <c r="B386" s="278"/>
      <c r="C386" s="279"/>
      <c r="D386" s="278"/>
      <c r="E386" s="279"/>
      <c r="F386" s="329">
        <f>'платные на 2022-2023 год'!G97</f>
        <v>0</v>
      </c>
      <c r="G386" s="330"/>
    </row>
    <row r="387" spans="1:7" ht="18.75" x14ac:dyDescent="0.25">
      <c r="A387" s="13"/>
      <c r="B387" s="278"/>
      <c r="C387" s="279"/>
      <c r="D387" s="278"/>
      <c r="E387" s="279"/>
      <c r="F387" s="329"/>
      <c r="G387" s="330"/>
    </row>
    <row r="388" spans="1:7" ht="18.75" x14ac:dyDescent="0.25">
      <c r="A388" s="13" t="s">
        <v>240</v>
      </c>
      <c r="B388" s="278"/>
      <c r="C388" s="279"/>
      <c r="D388" s="278"/>
      <c r="E388" s="279"/>
      <c r="F388" s="329">
        <f>'платные на 2022-2023 год'!G98</f>
        <v>0</v>
      </c>
      <c r="G388" s="330"/>
    </row>
    <row r="389" spans="1:7" ht="18.75" x14ac:dyDescent="0.25">
      <c r="A389" s="13"/>
      <c r="B389" s="278"/>
      <c r="C389" s="279"/>
      <c r="D389" s="278"/>
      <c r="E389" s="279"/>
      <c r="F389" s="329"/>
      <c r="G389" s="330"/>
    </row>
    <row r="390" spans="1:7" ht="18.75" x14ac:dyDescent="0.25">
      <c r="A390" s="13" t="s">
        <v>241</v>
      </c>
      <c r="B390" s="278"/>
      <c r="C390" s="279"/>
      <c r="D390" s="278"/>
      <c r="E390" s="279"/>
      <c r="F390" s="329">
        <f>'платные на 2022-2023 год'!G99</f>
        <v>0</v>
      </c>
      <c r="G390" s="330"/>
    </row>
    <row r="391" spans="1:7" ht="18.75" x14ac:dyDescent="0.25">
      <c r="A391" s="13"/>
      <c r="B391" s="278"/>
      <c r="C391" s="279"/>
      <c r="D391" s="278"/>
      <c r="E391" s="279"/>
      <c r="F391" s="329"/>
      <c r="G391" s="330"/>
    </row>
    <row r="392" spans="1:7" ht="18.75" x14ac:dyDescent="0.25">
      <c r="A392" s="13" t="s">
        <v>242</v>
      </c>
      <c r="B392" s="278"/>
      <c r="C392" s="279"/>
      <c r="D392" s="278"/>
      <c r="E392" s="279"/>
      <c r="F392" s="329">
        <f>'платные на 2022-2023 год'!G100</f>
        <v>0</v>
      </c>
      <c r="G392" s="330"/>
    </row>
    <row r="393" spans="1:7" ht="18.75" x14ac:dyDescent="0.25">
      <c r="A393" s="13"/>
      <c r="B393" s="278"/>
      <c r="C393" s="279"/>
      <c r="D393" s="278"/>
      <c r="E393" s="279"/>
      <c r="F393" s="329"/>
      <c r="G393" s="330"/>
    </row>
    <row r="394" spans="1:7" ht="18.75" x14ac:dyDescent="0.25">
      <c r="A394" s="13" t="s">
        <v>243</v>
      </c>
      <c r="B394" s="278"/>
      <c r="C394" s="279"/>
      <c r="D394" s="278"/>
      <c r="E394" s="279"/>
      <c r="F394" s="329">
        <f>'платные на 2022-2023 год'!G102</f>
        <v>0</v>
      </c>
      <c r="G394" s="330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19"/>
      <c r="D397" s="219"/>
      <c r="E397" s="10"/>
      <c r="F397" s="219"/>
      <c r="G397" s="219"/>
    </row>
    <row r="398" spans="1:7" ht="18.75" x14ac:dyDescent="0.3">
      <c r="A398" s="29"/>
      <c r="B398" s="10"/>
      <c r="C398" s="218" t="s">
        <v>53</v>
      </c>
      <c r="D398" s="218"/>
      <c r="E398" s="10"/>
      <c r="F398" s="218" t="s">
        <v>54</v>
      </c>
      <c r="G398" s="218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19"/>
      <c r="D400" s="219"/>
      <c r="E400" s="10"/>
      <c r="F400" s="219"/>
      <c r="G400" s="219"/>
    </row>
    <row r="401" spans="1:7" ht="18.75" x14ac:dyDescent="0.3">
      <c r="A401" s="29"/>
      <c r="B401" s="10"/>
      <c r="C401" s="218" t="s">
        <v>53</v>
      </c>
      <c r="D401" s="218"/>
      <c r="E401" s="10"/>
      <c r="F401" s="218" t="s">
        <v>54</v>
      </c>
      <c r="G401" s="218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19"/>
      <c r="D403" s="219"/>
      <c r="E403" s="10"/>
      <c r="F403" s="219"/>
      <c r="G403" s="219"/>
    </row>
    <row r="404" spans="1:7" ht="18.75" x14ac:dyDescent="0.3">
      <c r="A404" s="29"/>
      <c r="B404" s="10"/>
      <c r="C404" s="218" t="s">
        <v>53</v>
      </c>
      <c r="D404" s="218"/>
      <c r="E404" s="10"/>
      <c r="F404" s="218" t="s">
        <v>54</v>
      </c>
      <c r="G404" s="218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17" t="s">
        <v>44</v>
      </c>
      <c r="B406" s="217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3"/>
  <sheetViews>
    <sheetView view="pageBreakPreview" topLeftCell="A61" zoomScale="60" zoomScaleNormal="100" workbookViewId="0">
      <selection activeCell="B82" sqref="B82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6.7109375" style="7" customWidth="1"/>
    <col min="10" max="11" width="8.85546875" style="7"/>
    <col min="12" max="12" width="12.28515625" style="7" bestFit="1" customWidth="1"/>
    <col min="13" max="14" width="8.85546875" style="7"/>
    <col min="15" max="15" width="12.28515625" style="7" bestFit="1" customWidth="1"/>
    <col min="16" max="16384" width="8.85546875" style="7"/>
  </cols>
  <sheetData>
    <row r="1" spans="1:9" ht="18.75" x14ac:dyDescent="0.25">
      <c r="A1" s="232" t="s">
        <v>266</v>
      </c>
      <c r="B1" s="232"/>
      <c r="C1" s="232"/>
      <c r="D1" s="232"/>
      <c r="E1" s="232"/>
      <c r="F1" s="232"/>
      <c r="G1" s="232"/>
      <c r="H1" s="232"/>
      <c r="I1" s="232"/>
    </row>
    <row r="2" spans="1:9" ht="18.75" x14ac:dyDescent="0.25">
      <c r="A2" s="232" t="s">
        <v>75</v>
      </c>
      <c r="B2" s="232"/>
      <c r="C2" s="232"/>
      <c r="D2" s="232"/>
      <c r="E2" s="232"/>
      <c r="F2" s="232"/>
      <c r="G2" s="232"/>
      <c r="H2" s="232"/>
      <c r="I2" s="232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73</v>
      </c>
      <c r="F5" s="226"/>
      <c r="G5" s="226" t="s">
        <v>1</v>
      </c>
      <c r="H5" s="226" t="s">
        <v>73</v>
      </c>
      <c r="I5" s="236"/>
    </row>
    <row r="6" spans="1:9" ht="126.75" thickBot="1" x14ac:dyDescent="0.3">
      <c r="A6" s="225"/>
      <c r="B6" s="227"/>
      <c r="C6" s="229"/>
      <c r="D6" s="227"/>
      <c r="E6" s="117" t="s">
        <v>3</v>
      </c>
      <c r="F6" s="117" t="s">
        <v>4</v>
      </c>
      <c r="G6" s="227"/>
      <c r="H6" s="117" t="s">
        <v>3</v>
      </c>
      <c r="I6" s="38" t="s">
        <v>4</v>
      </c>
    </row>
    <row r="7" spans="1:9" ht="19.5" thickBot="1" x14ac:dyDescent="0.3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9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2" si="0">E9+F9</f>
        <v>0</v>
      </c>
      <c r="E9" s="5">
        <f>E10+E8-E25+E99</f>
        <v>0</v>
      </c>
      <c r="F9" s="5">
        <f>F10+F8-F25+F99</f>
        <v>0</v>
      </c>
      <c r="G9" s="5">
        <f t="shared" ref="G9" si="1">H9+I9</f>
        <v>0</v>
      </c>
      <c r="H9" s="5">
        <f>H10+H8-H25+H99</f>
        <v>0</v>
      </c>
      <c r="I9" s="31">
        <f>I10+I8-I25+I99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">
        <f>E12</f>
        <v>0</v>
      </c>
      <c r="F10" s="2">
        <f>F12</f>
        <v>0</v>
      </c>
      <c r="G10" s="2">
        <f>H10+I10</f>
        <v>0</v>
      </c>
      <c r="H10" s="2">
        <f>H12</f>
        <v>0</v>
      </c>
      <c r="I10" s="4">
        <f>I12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18.75" x14ac:dyDescent="0.25">
      <c r="A12" s="115" t="s">
        <v>62</v>
      </c>
      <c r="B12" s="119">
        <v>180</v>
      </c>
      <c r="C12" s="119" t="s">
        <v>5</v>
      </c>
      <c r="D12" s="2">
        <f t="shared" si="0"/>
        <v>0</v>
      </c>
      <c r="E12" s="2">
        <f>SUM(E13:E24)</f>
        <v>0</v>
      </c>
      <c r="F12" s="2">
        <f>SUM(F13:F24)</f>
        <v>0</v>
      </c>
      <c r="G12" s="2">
        <f t="shared" ref="G12:G25" si="2">H12+I12</f>
        <v>0</v>
      </c>
      <c r="H12" s="2">
        <f>SUM(H13:H24)</f>
        <v>0</v>
      </c>
      <c r="I12" s="4">
        <f>SUM(I13:I24)</f>
        <v>0</v>
      </c>
    </row>
    <row r="13" spans="1:9" ht="18.75" x14ac:dyDescent="0.25">
      <c r="A13" s="115" t="s">
        <v>6</v>
      </c>
      <c r="B13" s="119"/>
      <c r="C13" s="119"/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18.75" x14ac:dyDescent="0.25">
      <c r="A14" s="115"/>
      <c r="B14" s="119"/>
      <c r="C14" s="119"/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18.75" x14ac:dyDescent="0.25">
      <c r="A15" s="115"/>
      <c r="B15" s="119"/>
      <c r="C15" s="119"/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/>
      <c r="B16" s="119"/>
      <c r="C16" s="119"/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18.75" x14ac:dyDescent="0.25">
      <c r="A17" s="115"/>
      <c r="B17" s="119"/>
      <c r="C17" s="119"/>
      <c r="D17" s="2">
        <f t="shared" si="0"/>
        <v>0</v>
      </c>
      <c r="E17" s="2"/>
      <c r="F17" s="2"/>
      <c r="G17" s="2">
        <f t="shared" si="2"/>
        <v>0</v>
      </c>
      <c r="H17" s="2"/>
      <c r="I17" s="4"/>
    </row>
    <row r="18" spans="1:9" ht="18.75" x14ac:dyDescent="0.25">
      <c r="A18" s="115"/>
      <c r="B18" s="119"/>
      <c r="C18" s="119"/>
      <c r="D18" s="2">
        <f t="shared" si="0"/>
        <v>0</v>
      </c>
      <c r="E18" s="2"/>
      <c r="F18" s="2"/>
      <c r="G18" s="2">
        <f t="shared" si="2"/>
        <v>0</v>
      </c>
      <c r="H18" s="2"/>
      <c r="I18" s="4"/>
    </row>
    <row r="19" spans="1:9" ht="18.75" x14ac:dyDescent="0.25">
      <c r="A19" s="115"/>
      <c r="B19" s="119"/>
      <c r="C19" s="119"/>
      <c r="D19" s="2">
        <f t="shared" si="0"/>
        <v>0</v>
      </c>
      <c r="E19" s="2"/>
      <c r="F19" s="2"/>
      <c r="G19" s="2">
        <f t="shared" si="2"/>
        <v>0</v>
      </c>
      <c r="H19" s="2"/>
      <c r="I19" s="4"/>
    </row>
    <row r="20" spans="1:9" ht="18.75" x14ac:dyDescent="0.25">
      <c r="A20" s="115"/>
      <c r="B20" s="119"/>
      <c r="C20" s="119"/>
      <c r="D20" s="2">
        <f t="shared" si="0"/>
        <v>0</v>
      </c>
      <c r="E20" s="2"/>
      <c r="F20" s="2"/>
      <c r="G20" s="2">
        <f t="shared" si="2"/>
        <v>0</v>
      </c>
      <c r="H20" s="2"/>
      <c r="I20" s="4"/>
    </row>
    <row r="21" spans="1:9" ht="18.75" x14ac:dyDescent="0.25">
      <c r="A21" s="115"/>
      <c r="B21" s="119"/>
      <c r="C21" s="119"/>
      <c r="D21" s="2">
        <f t="shared" si="0"/>
        <v>0</v>
      </c>
      <c r="E21" s="2"/>
      <c r="F21" s="2"/>
      <c r="G21" s="2">
        <f t="shared" si="2"/>
        <v>0</v>
      </c>
      <c r="H21" s="2"/>
      <c r="I21" s="4"/>
    </row>
    <row r="22" spans="1:9" ht="18.75" x14ac:dyDescent="0.25">
      <c r="A22" s="115"/>
      <c r="B22" s="119"/>
      <c r="C22" s="119"/>
      <c r="D22" s="2">
        <f t="shared" si="0"/>
        <v>0</v>
      </c>
      <c r="E22" s="2"/>
      <c r="F22" s="2"/>
      <c r="G22" s="2">
        <f t="shared" si="2"/>
        <v>0</v>
      </c>
      <c r="H22" s="2"/>
      <c r="I22" s="4"/>
    </row>
    <row r="23" spans="1:9" ht="18.75" x14ac:dyDescent="0.25">
      <c r="A23" s="115"/>
      <c r="B23" s="119"/>
      <c r="C23" s="119"/>
      <c r="D23" s="2">
        <f t="shared" si="0"/>
        <v>0</v>
      </c>
      <c r="E23" s="2"/>
      <c r="F23" s="2"/>
      <c r="G23" s="2">
        <f t="shared" si="2"/>
        <v>0</v>
      </c>
      <c r="H23" s="2"/>
      <c r="I23" s="4"/>
    </row>
    <row r="24" spans="1:9" ht="18.75" x14ac:dyDescent="0.25">
      <c r="A24" s="115"/>
      <c r="B24" s="119"/>
      <c r="C24" s="119"/>
      <c r="D24" s="2">
        <f t="shared" si="0"/>
        <v>0</v>
      </c>
      <c r="E24" s="2"/>
      <c r="F24" s="2"/>
      <c r="G24" s="2">
        <f t="shared" si="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E27+E86</f>
        <v>0</v>
      </c>
      <c r="F25" s="2">
        <f>F27+F86</f>
        <v>0</v>
      </c>
      <c r="G25" s="5">
        <f t="shared" si="2"/>
        <v>0</v>
      </c>
      <c r="H25" s="2">
        <f>H27+H86</f>
        <v>0</v>
      </c>
      <c r="I25" s="4">
        <f>I27+I86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4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E29+E37+E61+E67</f>
        <v>0</v>
      </c>
      <c r="F27" s="2">
        <f>F29+F37+F61+F67</f>
        <v>0</v>
      </c>
      <c r="G27" s="5">
        <f t="shared" ref="G27" si="3">H27+I27</f>
        <v>0</v>
      </c>
      <c r="H27" s="2">
        <f>H29+H37+H61+H67</f>
        <v>0</v>
      </c>
      <c r="I27" s="4">
        <f>I29+I37+I61+I67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4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4">H29+I29</f>
        <v>0</v>
      </c>
      <c r="H29" s="2">
        <f>H31+H32+H33+H34</f>
        <v>0</v>
      </c>
      <c r="I29" s="4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4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5">H31+I31</f>
        <v>0</v>
      </c>
      <c r="H31" s="2"/>
      <c r="I31" s="4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5"/>
        <v>0</v>
      </c>
      <c r="H32" s="2"/>
      <c r="I32" s="4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5"/>
        <v>0</v>
      </c>
      <c r="H33" s="2"/>
      <c r="I33" s="4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4">
        <f>I35+I36</f>
        <v>0</v>
      </c>
    </row>
    <row r="35" spans="1:9" ht="18.75" x14ac:dyDescent="0.25">
      <c r="A35" s="341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6">H35+I35</f>
        <v>0</v>
      </c>
      <c r="H35" s="2"/>
      <c r="I35" s="4"/>
    </row>
    <row r="36" spans="1:9" ht="25.15" customHeight="1" x14ac:dyDescent="0.25">
      <c r="A36" s="341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4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 t="shared" si="0"/>
        <v>0</v>
      </c>
      <c r="E37" s="2">
        <f>E39+E40+E43+E50+E51+E54+E60</f>
        <v>0</v>
      </c>
      <c r="F37" s="2">
        <f>F39+F40+F43+F50+F51+F54+F60</f>
        <v>0</v>
      </c>
      <c r="G37" s="5">
        <f t="shared" ref="G37" si="7">H37+I37</f>
        <v>0</v>
      </c>
      <c r="H37" s="2">
        <f>H39+H40+H43+H50+H51+H54+H60</f>
        <v>0</v>
      </c>
      <c r="I37" s="4">
        <f>I39+I40+I43+I50+I51+I54+I60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4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8">H39+I39</f>
        <v>0</v>
      </c>
      <c r="H39" s="2"/>
      <c r="I39" s="4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8"/>
        <v>0</v>
      </c>
      <c r="H40" s="2">
        <f>H41+H42</f>
        <v>0</v>
      </c>
      <c r="I40" s="4">
        <f>I41+I42</f>
        <v>0</v>
      </c>
    </row>
    <row r="41" spans="1:9" ht="22.9" customHeight="1" x14ac:dyDescent="0.25">
      <c r="A41" s="216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8"/>
        <v>0</v>
      </c>
      <c r="H41" s="2"/>
      <c r="I41" s="4"/>
    </row>
    <row r="42" spans="1:9" ht="18.75" x14ac:dyDescent="0.25">
      <c r="A42" s="216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8"/>
        <v>0</v>
      </c>
      <c r="H42" s="2"/>
      <c r="I42" s="4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:F43" si="9">E45+E46+E47+E48+E49</f>
        <v>0</v>
      </c>
      <c r="F43" s="2">
        <f t="shared" si="9"/>
        <v>0</v>
      </c>
      <c r="G43" s="5">
        <f t="shared" si="8"/>
        <v>0</v>
      </c>
      <c r="H43" s="2">
        <f t="shared" ref="H43:I43" si="10">H45+H46+H47+H48+H49</f>
        <v>0</v>
      </c>
      <c r="I43" s="4">
        <f t="shared" si="10"/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4"/>
    </row>
    <row r="45" spans="1:9" ht="56.25" x14ac:dyDescent="0.25">
      <c r="A45" s="115" t="s">
        <v>18</v>
      </c>
      <c r="B45" s="119">
        <v>244</v>
      </c>
      <c r="C45" s="119">
        <v>223</v>
      </c>
      <c r="D45" s="5">
        <f t="shared" si="0"/>
        <v>0</v>
      </c>
      <c r="E45" s="2"/>
      <c r="F45" s="2"/>
      <c r="G45" s="5">
        <f t="shared" ref="G45:G50" si="11">H45+I45</f>
        <v>0</v>
      </c>
      <c r="H45" s="2"/>
      <c r="I45" s="4"/>
    </row>
    <row r="46" spans="1:9" ht="37.5" x14ac:dyDescent="0.25">
      <c r="A46" s="115" t="s">
        <v>19</v>
      </c>
      <c r="B46" s="119">
        <v>244</v>
      </c>
      <c r="C46" s="119">
        <v>223</v>
      </c>
      <c r="D46" s="5">
        <f t="shared" si="0"/>
        <v>0</v>
      </c>
      <c r="E46" s="2"/>
      <c r="F46" s="2"/>
      <c r="G46" s="5">
        <f t="shared" si="11"/>
        <v>0</v>
      </c>
      <c r="H46" s="2"/>
      <c r="I46" s="4"/>
    </row>
    <row r="47" spans="1:9" ht="75" x14ac:dyDescent="0.25">
      <c r="A47" s="115" t="s">
        <v>20</v>
      </c>
      <c r="B47" s="119">
        <v>244</v>
      </c>
      <c r="C47" s="119">
        <v>223</v>
      </c>
      <c r="D47" s="5">
        <f t="shared" si="0"/>
        <v>0</v>
      </c>
      <c r="E47" s="2"/>
      <c r="F47" s="2"/>
      <c r="G47" s="5">
        <f t="shared" si="11"/>
        <v>0</v>
      </c>
      <c r="H47" s="2"/>
      <c r="I47" s="4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11"/>
        <v>0</v>
      </c>
      <c r="H48" s="2"/>
      <c r="I48" s="4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11"/>
        <v>0</v>
      </c>
      <c r="H49" s="2"/>
      <c r="I49" s="4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11"/>
        <v>0</v>
      </c>
      <c r="H50" s="2"/>
      <c r="I50" s="4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F51" si="12">D52+D53</f>
        <v>0</v>
      </c>
      <c r="E51" s="2">
        <f>E52+E53</f>
        <v>0</v>
      </c>
      <c r="F51" s="2">
        <f t="shared" si="12"/>
        <v>0</v>
      </c>
      <c r="G51" s="2">
        <f t="shared" ref="G51" si="13">G52+G53</f>
        <v>0</v>
      </c>
      <c r="H51" s="2">
        <f>H52+H53</f>
        <v>0</v>
      </c>
      <c r="I51" s="4">
        <f t="shared" ref="I51" si="14">I52+I53</f>
        <v>0</v>
      </c>
    </row>
    <row r="52" spans="1:9" ht="18.75" x14ac:dyDescent="0.25">
      <c r="A52" s="216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86" si="15">H52+I52</f>
        <v>0</v>
      </c>
      <c r="H52" s="2"/>
      <c r="I52" s="4"/>
    </row>
    <row r="53" spans="1:9" ht="18.75" x14ac:dyDescent="0.25">
      <c r="A53" s="216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15"/>
        <v>0</v>
      </c>
      <c r="H53" s="2"/>
      <c r="I53" s="4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15"/>
        <v>0</v>
      </c>
      <c r="H54" s="2">
        <f>H55+H56+H58+H59+H57</f>
        <v>0</v>
      </c>
      <c r="I54" s="4">
        <f>I55+I56+I58+I59+I57</f>
        <v>0</v>
      </c>
    </row>
    <row r="55" spans="1:9" ht="18.75" x14ac:dyDescent="0.25">
      <c r="A55" s="216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15"/>
        <v>0</v>
      </c>
      <c r="H55" s="2"/>
      <c r="I55" s="4"/>
    </row>
    <row r="56" spans="1:9" ht="18.75" x14ac:dyDescent="0.25">
      <c r="A56" s="216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15"/>
        <v>0</v>
      </c>
      <c r="H56" s="2"/>
      <c r="I56" s="4"/>
    </row>
    <row r="57" spans="1:9" ht="18.75" x14ac:dyDescent="0.25">
      <c r="A57" s="216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15"/>
        <v>0</v>
      </c>
      <c r="H57" s="2"/>
      <c r="I57" s="4"/>
    </row>
    <row r="58" spans="1:9" ht="18.75" x14ac:dyDescent="0.25">
      <c r="A58" s="216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15"/>
        <v>0</v>
      </c>
      <c r="H58" s="2"/>
      <c r="I58" s="4"/>
    </row>
    <row r="59" spans="1:9" ht="18.75" x14ac:dyDescent="0.25">
      <c r="A59" s="216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15"/>
        <v>0</v>
      </c>
      <c r="H59" s="2"/>
      <c r="I59" s="4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 t="shared" si="0"/>
        <v>0</v>
      </c>
      <c r="E60" s="2"/>
      <c r="F60" s="2"/>
      <c r="G60" s="5">
        <f t="shared" si="15"/>
        <v>0</v>
      </c>
      <c r="H60" s="2"/>
      <c r="I60" s="4"/>
    </row>
    <row r="61" spans="1:9" ht="37.5" x14ac:dyDescent="0.25">
      <c r="A61" s="115" t="s">
        <v>26</v>
      </c>
      <c r="B61" s="119" t="s">
        <v>5</v>
      </c>
      <c r="C61" s="119">
        <v>260</v>
      </c>
      <c r="D61" s="5">
        <f t="shared" si="0"/>
        <v>0</v>
      </c>
      <c r="E61" s="2">
        <f>E62+E63+E66</f>
        <v>0</v>
      </c>
      <c r="F61" s="2">
        <f>F62+F63+F66</f>
        <v>0</v>
      </c>
      <c r="G61" s="5">
        <f t="shared" si="15"/>
        <v>0</v>
      </c>
      <c r="H61" s="2">
        <f>H62+H63+H66</f>
        <v>0</v>
      </c>
      <c r="I61" s="4">
        <f>I62+I63+I66</f>
        <v>0</v>
      </c>
    </row>
    <row r="62" spans="1:9" ht="112.5" x14ac:dyDescent="0.25">
      <c r="A62" s="115" t="s">
        <v>27</v>
      </c>
      <c r="B62" s="119">
        <v>321</v>
      </c>
      <c r="C62" s="119">
        <v>264</v>
      </c>
      <c r="D62" s="5">
        <f t="shared" si="0"/>
        <v>0</v>
      </c>
      <c r="E62" s="2"/>
      <c r="F62" s="2"/>
      <c r="G62" s="5">
        <f t="shared" si="15"/>
        <v>0</v>
      </c>
      <c r="H62" s="2"/>
      <c r="I62" s="4"/>
    </row>
    <row r="63" spans="1:9" ht="93.75" x14ac:dyDescent="0.25">
      <c r="A63" s="115" t="s">
        <v>28</v>
      </c>
      <c r="B63" s="119" t="s">
        <v>5</v>
      </c>
      <c r="C63" s="119">
        <v>266</v>
      </c>
      <c r="D63" s="5">
        <f t="shared" si="0"/>
        <v>0</v>
      </c>
      <c r="E63" s="2">
        <f t="shared" ref="E63:F63" si="16">E64+E65</f>
        <v>0</v>
      </c>
      <c r="F63" s="2">
        <f t="shared" si="16"/>
        <v>0</v>
      </c>
      <c r="G63" s="5">
        <f t="shared" si="15"/>
        <v>0</v>
      </c>
      <c r="H63" s="2">
        <f t="shared" ref="H63:I63" si="17">H64+H65</f>
        <v>0</v>
      </c>
      <c r="I63" s="4">
        <f t="shared" si="17"/>
        <v>0</v>
      </c>
    </row>
    <row r="64" spans="1:9" ht="18.75" x14ac:dyDescent="0.25">
      <c r="A64" s="216" t="s">
        <v>6</v>
      </c>
      <c r="B64" s="119">
        <v>111</v>
      </c>
      <c r="C64" s="119">
        <v>266</v>
      </c>
      <c r="D64" s="5">
        <f t="shared" si="0"/>
        <v>0</v>
      </c>
      <c r="E64" s="2"/>
      <c r="F64" s="2"/>
      <c r="G64" s="5">
        <f t="shared" si="15"/>
        <v>0</v>
      </c>
      <c r="H64" s="2"/>
      <c r="I64" s="4"/>
    </row>
    <row r="65" spans="1:9" ht="18.75" x14ac:dyDescent="0.25">
      <c r="A65" s="216"/>
      <c r="B65" s="119">
        <v>112</v>
      </c>
      <c r="C65" s="119">
        <v>266</v>
      </c>
      <c r="D65" s="5">
        <f t="shared" si="0"/>
        <v>0</v>
      </c>
      <c r="E65" s="2"/>
      <c r="F65" s="2"/>
      <c r="G65" s="5">
        <f t="shared" si="15"/>
        <v>0</v>
      </c>
      <c r="H65" s="2"/>
      <c r="I65" s="4"/>
    </row>
    <row r="66" spans="1:9" ht="75" x14ac:dyDescent="0.25">
      <c r="A66" s="115" t="s">
        <v>29</v>
      </c>
      <c r="B66" s="119">
        <v>112</v>
      </c>
      <c r="C66" s="119">
        <v>267</v>
      </c>
      <c r="D66" s="5">
        <f t="shared" si="0"/>
        <v>0</v>
      </c>
      <c r="E66" s="2"/>
      <c r="F66" s="2"/>
      <c r="G66" s="5">
        <f t="shared" si="15"/>
        <v>0</v>
      </c>
      <c r="H66" s="2"/>
      <c r="I66" s="4"/>
    </row>
    <row r="67" spans="1:9" ht="18.75" x14ac:dyDescent="0.25">
      <c r="A67" s="115" t="s">
        <v>30</v>
      </c>
      <c r="B67" s="119" t="s">
        <v>5</v>
      </c>
      <c r="C67" s="119">
        <v>290</v>
      </c>
      <c r="D67" s="5">
        <f t="shared" si="0"/>
        <v>0</v>
      </c>
      <c r="E67" s="2">
        <f>E69+E73+E74+E75+E76+E83</f>
        <v>0</v>
      </c>
      <c r="F67" s="2">
        <f>F69+F73+F74+F75+F76+F83</f>
        <v>0</v>
      </c>
      <c r="G67" s="5">
        <f t="shared" si="15"/>
        <v>0</v>
      </c>
      <c r="H67" s="2">
        <f>H69+H73+H74+H75+H76+H83</f>
        <v>0</v>
      </c>
      <c r="I67" s="4">
        <f>I69+I73+I74+I75+I76+I83</f>
        <v>0</v>
      </c>
    </row>
    <row r="68" spans="1:9" ht="18.75" x14ac:dyDescent="0.25">
      <c r="A68" s="115" t="s">
        <v>9</v>
      </c>
      <c r="B68" s="119"/>
      <c r="C68" s="119"/>
      <c r="D68" s="5">
        <f t="shared" si="0"/>
        <v>0</v>
      </c>
      <c r="E68" s="2"/>
      <c r="F68" s="2"/>
      <c r="G68" s="5">
        <f t="shared" si="15"/>
        <v>0</v>
      </c>
      <c r="H68" s="2"/>
      <c r="I68" s="4"/>
    </row>
    <row r="69" spans="1:9" ht="37.5" x14ac:dyDescent="0.25">
      <c r="A69" s="115" t="s">
        <v>31</v>
      </c>
      <c r="B69" s="119" t="s">
        <v>5</v>
      </c>
      <c r="C69" s="119">
        <v>291</v>
      </c>
      <c r="D69" s="5">
        <f t="shared" si="0"/>
        <v>0</v>
      </c>
      <c r="E69" s="2">
        <f t="shared" ref="E69:F69" si="18">E70+E71+E72</f>
        <v>0</v>
      </c>
      <c r="F69" s="2">
        <f t="shared" si="18"/>
        <v>0</v>
      </c>
      <c r="G69" s="5">
        <f t="shared" si="15"/>
        <v>0</v>
      </c>
      <c r="H69" s="2">
        <f t="shared" ref="H69:I69" si="19">H70+H71+H72</f>
        <v>0</v>
      </c>
      <c r="I69" s="4">
        <f t="shared" si="19"/>
        <v>0</v>
      </c>
    </row>
    <row r="70" spans="1:9" ht="18.75" x14ac:dyDescent="0.25">
      <c r="A70" s="216" t="s">
        <v>6</v>
      </c>
      <c r="B70" s="119">
        <v>851</v>
      </c>
      <c r="C70" s="119">
        <v>291</v>
      </c>
      <c r="D70" s="5">
        <f t="shared" si="0"/>
        <v>0</v>
      </c>
      <c r="E70" s="2"/>
      <c r="F70" s="2"/>
      <c r="G70" s="5">
        <f t="shared" si="15"/>
        <v>0</v>
      </c>
      <c r="H70" s="2"/>
      <c r="I70" s="4"/>
    </row>
    <row r="71" spans="1:9" ht="18.75" x14ac:dyDescent="0.25">
      <c r="A71" s="216"/>
      <c r="B71" s="119">
        <v>852</v>
      </c>
      <c r="C71" s="119">
        <v>291</v>
      </c>
      <c r="D71" s="5">
        <f t="shared" si="0"/>
        <v>0</v>
      </c>
      <c r="E71" s="2"/>
      <c r="F71" s="2"/>
      <c r="G71" s="5">
        <f t="shared" si="15"/>
        <v>0</v>
      </c>
      <c r="H71" s="2"/>
      <c r="I71" s="4"/>
    </row>
    <row r="72" spans="1:9" ht="18.75" x14ac:dyDescent="0.25">
      <c r="A72" s="216"/>
      <c r="B72" s="119">
        <v>853</v>
      </c>
      <c r="C72" s="119">
        <v>291</v>
      </c>
      <c r="D72" s="5">
        <f t="shared" si="0"/>
        <v>0</v>
      </c>
      <c r="E72" s="2"/>
      <c r="F72" s="2"/>
      <c r="G72" s="5">
        <f t="shared" si="15"/>
        <v>0</v>
      </c>
      <c r="H72" s="2"/>
      <c r="I72" s="4"/>
    </row>
    <row r="73" spans="1:9" ht="112.5" x14ac:dyDescent="0.25">
      <c r="A73" s="115" t="s">
        <v>32</v>
      </c>
      <c r="B73" s="119">
        <v>853</v>
      </c>
      <c r="C73" s="119">
        <v>292</v>
      </c>
      <c r="D73" s="5">
        <f t="shared" ref="D73:D103" si="20">E73+F73</f>
        <v>0</v>
      </c>
      <c r="E73" s="2"/>
      <c r="F73" s="2">
        <v>0</v>
      </c>
      <c r="G73" s="5">
        <f t="shared" si="15"/>
        <v>0</v>
      </c>
      <c r="H73" s="2"/>
      <c r="I73" s="4">
        <v>0</v>
      </c>
    </row>
    <row r="74" spans="1:9" ht="131.25" x14ac:dyDescent="0.25">
      <c r="A74" s="115" t="s">
        <v>33</v>
      </c>
      <c r="B74" s="119">
        <v>853</v>
      </c>
      <c r="C74" s="119">
        <v>293</v>
      </c>
      <c r="D74" s="5">
        <f t="shared" si="20"/>
        <v>0</v>
      </c>
      <c r="E74" s="2"/>
      <c r="F74" s="2">
        <v>0</v>
      </c>
      <c r="G74" s="5">
        <f t="shared" si="15"/>
        <v>0</v>
      </c>
      <c r="H74" s="2"/>
      <c r="I74" s="4">
        <v>0</v>
      </c>
    </row>
    <row r="75" spans="1:9" ht="56.25" x14ac:dyDescent="0.25">
      <c r="A75" s="115" t="s">
        <v>158</v>
      </c>
      <c r="B75" s="119">
        <v>853</v>
      </c>
      <c r="C75" s="119">
        <v>295</v>
      </c>
      <c r="D75" s="5">
        <f t="shared" si="20"/>
        <v>0</v>
      </c>
      <c r="E75" s="2"/>
      <c r="F75" s="2">
        <v>0</v>
      </c>
      <c r="G75" s="5">
        <f t="shared" si="15"/>
        <v>0</v>
      </c>
      <c r="H75" s="2"/>
      <c r="I75" s="4">
        <v>0</v>
      </c>
    </row>
    <row r="76" spans="1:9" ht="56.25" x14ac:dyDescent="0.25">
      <c r="A76" s="115" t="s">
        <v>34</v>
      </c>
      <c r="B76" s="119" t="s">
        <v>5</v>
      </c>
      <c r="C76" s="119">
        <v>296</v>
      </c>
      <c r="D76" s="5">
        <f t="shared" si="20"/>
        <v>0</v>
      </c>
      <c r="E76" s="2">
        <f t="shared" ref="E76:F76" si="21">E77+E78+E79+E80+E82</f>
        <v>0</v>
      </c>
      <c r="F76" s="2">
        <f t="shared" si="21"/>
        <v>0</v>
      </c>
      <c r="G76" s="5">
        <f t="shared" si="15"/>
        <v>0</v>
      </c>
      <c r="H76" s="2">
        <f t="shared" ref="H76:I76" si="22">H77+H78+H79+H80+H82</f>
        <v>0</v>
      </c>
      <c r="I76" s="4">
        <f t="shared" si="22"/>
        <v>0</v>
      </c>
    </row>
    <row r="77" spans="1:9" ht="18.75" x14ac:dyDescent="0.25">
      <c r="A77" s="216" t="s">
        <v>6</v>
      </c>
      <c r="B77" s="119">
        <v>244</v>
      </c>
      <c r="C77" s="119">
        <v>296</v>
      </c>
      <c r="D77" s="5">
        <f t="shared" si="20"/>
        <v>0</v>
      </c>
      <c r="E77" s="2"/>
      <c r="F77" s="2"/>
      <c r="G77" s="5">
        <f t="shared" si="15"/>
        <v>0</v>
      </c>
      <c r="H77" s="2"/>
      <c r="I77" s="4"/>
    </row>
    <row r="78" spans="1:9" ht="18.75" x14ac:dyDescent="0.25">
      <c r="A78" s="216"/>
      <c r="B78" s="119">
        <v>340</v>
      </c>
      <c r="C78" s="119">
        <v>296</v>
      </c>
      <c r="D78" s="5">
        <f t="shared" si="20"/>
        <v>0</v>
      </c>
      <c r="E78" s="2"/>
      <c r="F78" s="2"/>
      <c r="G78" s="5">
        <f t="shared" si="15"/>
        <v>0</v>
      </c>
      <c r="H78" s="2"/>
      <c r="I78" s="4"/>
    </row>
    <row r="79" spans="1:9" ht="18.75" x14ac:dyDescent="0.25">
      <c r="A79" s="216"/>
      <c r="B79" s="119">
        <v>350</v>
      </c>
      <c r="C79" s="119">
        <v>296</v>
      </c>
      <c r="D79" s="5">
        <f t="shared" si="20"/>
        <v>0</v>
      </c>
      <c r="E79" s="2"/>
      <c r="F79" s="2"/>
      <c r="G79" s="5">
        <f t="shared" si="15"/>
        <v>0</v>
      </c>
      <c r="H79" s="2"/>
      <c r="I79" s="4"/>
    </row>
    <row r="80" spans="1:9" ht="18.75" x14ac:dyDescent="0.25">
      <c r="A80" s="216"/>
      <c r="B80" s="119">
        <v>360</v>
      </c>
      <c r="C80" s="119">
        <v>296</v>
      </c>
      <c r="D80" s="5">
        <f t="shared" si="20"/>
        <v>0</v>
      </c>
      <c r="E80" s="2"/>
      <c r="F80" s="2"/>
      <c r="G80" s="5">
        <f t="shared" si="15"/>
        <v>0</v>
      </c>
      <c r="H80" s="2"/>
      <c r="I80" s="4"/>
    </row>
    <row r="81" spans="1:9" ht="18.75" x14ac:dyDescent="0.25">
      <c r="A81" s="216"/>
      <c r="B81" s="215">
        <v>831</v>
      </c>
      <c r="C81" s="215">
        <v>296</v>
      </c>
      <c r="D81" s="5">
        <f t="shared" ref="D81" si="23">E81+F81</f>
        <v>0</v>
      </c>
      <c r="E81" s="2"/>
      <c r="F81" s="2"/>
      <c r="G81" s="5">
        <f t="shared" ref="G81" si="24">H81+I81</f>
        <v>0</v>
      </c>
      <c r="H81" s="2"/>
      <c r="I81" s="4"/>
    </row>
    <row r="82" spans="1:9" ht="18.75" x14ac:dyDescent="0.25">
      <c r="A82" s="216"/>
      <c r="B82" s="119">
        <v>853</v>
      </c>
      <c r="C82" s="119">
        <v>296</v>
      </c>
      <c r="D82" s="5">
        <f t="shared" si="20"/>
        <v>0</v>
      </c>
      <c r="E82" s="2"/>
      <c r="F82" s="2"/>
      <c r="G82" s="5">
        <f t="shared" si="15"/>
        <v>0</v>
      </c>
      <c r="H82" s="2"/>
      <c r="I82" s="4"/>
    </row>
    <row r="83" spans="1:9" ht="62.45" customHeight="1" x14ac:dyDescent="0.25">
      <c r="A83" s="115" t="s">
        <v>35</v>
      </c>
      <c r="B83" s="119" t="s">
        <v>5</v>
      </c>
      <c r="C83" s="119">
        <v>297</v>
      </c>
      <c r="D83" s="5">
        <f t="shared" si="20"/>
        <v>0</v>
      </c>
      <c r="E83" s="2">
        <f t="shared" ref="E83:F83" si="25">E84+E85</f>
        <v>0</v>
      </c>
      <c r="F83" s="2">
        <f t="shared" si="25"/>
        <v>0</v>
      </c>
      <c r="G83" s="5">
        <f t="shared" si="15"/>
        <v>0</v>
      </c>
      <c r="H83" s="2">
        <f t="shared" ref="H83:I83" si="26">H84+H85</f>
        <v>0</v>
      </c>
      <c r="I83" s="4">
        <f t="shared" si="26"/>
        <v>0</v>
      </c>
    </row>
    <row r="84" spans="1:9" ht="18.75" x14ac:dyDescent="0.25">
      <c r="A84" s="216" t="s">
        <v>6</v>
      </c>
      <c r="B84" s="119">
        <v>244</v>
      </c>
      <c r="C84" s="119">
        <v>297</v>
      </c>
      <c r="D84" s="5">
        <f t="shared" si="20"/>
        <v>0</v>
      </c>
      <c r="E84" s="2"/>
      <c r="F84" s="2"/>
      <c r="G84" s="5">
        <f t="shared" si="15"/>
        <v>0</v>
      </c>
      <c r="H84" s="2"/>
      <c r="I84" s="4"/>
    </row>
    <row r="85" spans="1:9" ht="18.75" x14ac:dyDescent="0.25">
      <c r="A85" s="216"/>
      <c r="B85" s="119">
        <v>853</v>
      </c>
      <c r="C85" s="119">
        <v>297</v>
      </c>
      <c r="D85" s="5">
        <f t="shared" si="20"/>
        <v>0</v>
      </c>
      <c r="E85" s="2"/>
      <c r="F85" s="2"/>
      <c r="G85" s="5">
        <f t="shared" si="15"/>
        <v>0</v>
      </c>
      <c r="H85" s="2"/>
      <c r="I85" s="4"/>
    </row>
    <row r="86" spans="1:9" ht="56.25" x14ac:dyDescent="0.25">
      <c r="A86" s="115" t="s">
        <v>59</v>
      </c>
      <c r="B86" s="119" t="s">
        <v>5</v>
      </c>
      <c r="C86" s="119">
        <v>300</v>
      </c>
      <c r="D86" s="5">
        <f t="shared" si="20"/>
        <v>0</v>
      </c>
      <c r="E86" s="2">
        <f>E88+E90+E89</f>
        <v>0</v>
      </c>
      <c r="F86" s="2">
        <f>F88+F90+F89</f>
        <v>0</v>
      </c>
      <c r="G86" s="5">
        <f t="shared" si="15"/>
        <v>0</v>
      </c>
      <c r="H86" s="2">
        <f>H88+H90+H89</f>
        <v>0</v>
      </c>
      <c r="I86" s="4">
        <f>I88+I90+I89</f>
        <v>0</v>
      </c>
    </row>
    <row r="87" spans="1:9" ht="18.75" x14ac:dyDescent="0.25">
      <c r="A87" s="115" t="s">
        <v>9</v>
      </c>
      <c r="B87" s="119"/>
      <c r="C87" s="119"/>
      <c r="D87" s="5"/>
      <c r="E87" s="2"/>
      <c r="F87" s="2"/>
      <c r="G87" s="5"/>
      <c r="H87" s="2"/>
      <c r="I87" s="4"/>
    </row>
    <row r="88" spans="1:9" ht="56.25" x14ac:dyDescent="0.25">
      <c r="A88" s="115" t="s">
        <v>36</v>
      </c>
      <c r="B88" s="119">
        <v>244</v>
      </c>
      <c r="C88" s="119">
        <v>310</v>
      </c>
      <c r="D88" s="5">
        <f t="shared" si="20"/>
        <v>0</v>
      </c>
      <c r="E88" s="2"/>
      <c r="F88" s="2"/>
      <c r="G88" s="5">
        <f t="shared" ref="G88:G90" si="27">H88+I88</f>
        <v>0</v>
      </c>
      <c r="H88" s="2"/>
      <c r="I88" s="4"/>
    </row>
    <row r="89" spans="1:9" ht="75" x14ac:dyDescent="0.25">
      <c r="A89" s="115" t="s">
        <v>68</v>
      </c>
      <c r="B89" s="119">
        <v>244</v>
      </c>
      <c r="C89" s="119">
        <v>320</v>
      </c>
      <c r="D89" s="5">
        <f t="shared" si="20"/>
        <v>0</v>
      </c>
      <c r="E89" s="2"/>
      <c r="F89" s="2"/>
      <c r="G89" s="5">
        <f t="shared" si="27"/>
        <v>0</v>
      </c>
      <c r="H89" s="2"/>
      <c r="I89" s="4"/>
    </row>
    <row r="90" spans="1:9" ht="75" x14ac:dyDescent="0.25">
      <c r="A90" s="115" t="s">
        <v>60</v>
      </c>
      <c r="B90" s="119" t="s">
        <v>5</v>
      </c>
      <c r="C90" s="119">
        <v>340</v>
      </c>
      <c r="D90" s="5">
        <f t="shared" si="20"/>
        <v>0</v>
      </c>
      <c r="E90" s="2">
        <f>E92+E93+E94+E95+E96+E97+E98</f>
        <v>0</v>
      </c>
      <c r="F90" s="2">
        <f>F92+F93+F94+F95+F96+F97+F98</f>
        <v>0</v>
      </c>
      <c r="G90" s="5">
        <f t="shared" si="27"/>
        <v>0</v>
      </c>
      <c r="H90" s="2">
        <f>H92+H93+H94+H95+H96+H97+H98</f>
        <v>0</v>
      </c>
      <c r="I90" s="4">
        <f>I92+I93+I94+I95+I96+I97+I98</f>
        <v>0</v>
      </c>
    </row>
    <row r="91" spans="1:9" ht="18.75" x14ac:dyDescent="0.25">
      <c r="A91" s="115" t="s">
        <v>6</v>
      </c>
      <c r="B91" s="119"/>
      <c r="C91" s="119"/>
      <c r="D91" s="5"/>
      <c r="E91" s="2"/>
      <c r="F91" s="2"/>
      <c r="G91" s="5"/>
      <c r="H91" s="2"/>
      <c r="I91" s="4"/>
    </row>
    <row r="92" spans="1:9" ht="131.25" x14ac:dyDescent="0.25">
      <c r="A92" s="115" t="s">
        <v>37</v>
      </c>
      <c r="B92" s="119">
        <v>244</v>
      </c>
      <c r="C92" s="119">
        <v>341</v>
      </c>
      <c r="D92" s="5">
        <f t="shared" si="20"/>
        <v>0</v>
      </c>
      <c r="E92" s="2"/>
      <c r="F92" s="2"/>
      <c r="G92" s="5">
        <f t="shared" ref="G92:G99" si="28">H92+I92</f>
        <v>0</v>
      </c>
      <c r="H92" s="2"/>
      <c r="I92" s="4"/>
    </row>
    <row r="93" spans="1:9" ht="56.25" x14ac:dyDescent="0.25">
      <c r="A93" s="115" t="s">
        <v>38</v>
      </c>
      <c r="B93" s="119">
        <v>244</v>
      </c>
      <c r="C93" s="119">
        <v>342</v>
      </c>
      <c r="D93" s="5">
        <f t="shared" si="20"/>
        <v>0</v>
      </c>
      <c r="E93" s="2"/>
      <c r="F93" s="2"/>
      <c r="G93" s="5">
        <f t="shared" si="28"/>
        <v>0</v>
      </c>
      <c r="H93" s="2"/>
      <c r="I93" s="4"/>
    </row>
    <row r="94" spans="1:9" ht="75" x14ac:dyDescent="0.25">
      <c r="A94" s="115" t="s">
        <v>39</v>
      </c>
      <c r="B94" s="119">
        <v>244</v>
      </c>
      <c r="C94" s="119">
        <v>343</v>
      </c>
      <c r="D94" s="5">
        <f t="shared" si="20"/>
        <v>0</v>
      </c>
      <c r="E94" s="2"/>
      <c r="F94" s="2"/>
      <c r="G94" s="5">
        <f t="shared" si="28"/>
        <v>0</v>
      </c>
      <c r="H94" s="2"/>
      <c r="I94" s="4"/>
    </row>
    <row r="95" spans="1:9" ht="75" x14ac:dyDescent="0.25">
      <c r="A95" s="115" t="s">
        <v>40</v>
      </c>
      <c r="B95" s="119">
        <v>244</v>
      </c>
      <c r="C95" s="119">
        <v>344</v>
      </c>
      <c r="D95" s="5">
        <f t="shared" si="20"/>
        <v>0</v>
      </c>
      <c r="E95" s="2"/>
      <c r="F95" s="2"/>
      <c r="G95" s="5">
        <f t="shared" si="28"/>
        <v>0</v>
      </c>
      <c r="H95" s="2"/>
      <c r="I95" s="4"/>
    </row>
    <row r="96" spans="1:9" ht="56.25" x14ac:dyDescent="0.25">
      <c r="A96" s="115" t="s">
        <v>41</v>
      </c>
      <c r="B96" s="119">
        <v>244</v>
      </c>
      <c r="C96" s="119">
        <v>345</v>
      </c>
      <c r="D96" s="5">
        <f t="shared" si="20"/>
        <v>0</v>
      </c>
      <c r="E96" s="2"/>
      <c r="F96" s="2"/>
      <c r="G96" s="5">
        <f t="shared" si="28"/>
        <v>0</v>
      </c>
      <c r="H96" s="2"/>
      <c r="I96" s="4"/>
    </row>
    <row r="97" spans="1:9" ht="75" x14ac:dyDescent="0.25">
      <c r="A97" s="115" t="s">
        <v>42</v>
      </c>
      <c r="B97" s="119">
        <v>244</v>
      </c>
      <c r="C97" s="119">
        <v>346</v>
      </c>
      <c r="D97" s="5">
        <f t="shared" si="20"/>
        <v>0</v>
      </c>
      <c r="E97" s="2"/>
      <c r="F97" s="2"/>
      <c r="G97" s="5">
        <f t="shared" si="28"/>
        <v>0</v>
      </c>
      <c r="H97" s="2"/>
      <c r="I97" s="4"/>
    </row>
    <row r="98" spans="1:9" ht="112.5" x14ac:dyDescent="0.25">
      <c r="A98" s="115" t="s">
        <v>43</v>
      </c>
      <c r="B98" s="119">
        <v>244</v>
      </c>
      <c r="C98" s="119">
        <v>349</v>
      </c>
      <c r="D98" s="5">
        <f t="shared" si="20"/>
        <v>0</v>
      </c>
      <c r="E98" s="2"/>
      <c r="F98" s="2"/>
      <c r="G98" s="5">
        <f t="shared" si="28"/>
        <v>0</v>
      </c>
      <c r="H98" s="2"/>
      <c r="I98" s="4"/>
    </row>
    <row r="99" spans="1:9" ht="56.25" x14ac:dyDescent="0.25">
      <c r="A99" s="115" t="s">
        <v>67</v>
      </c>
      <c r="B99" s="119" t="s">
        <v>5</v>
      </c>
      <c r="C99" s="119" t="s">
        <v>5</v>
      </c>
      <c r="D99" s="5">
        <f t="shared" si="20"/>
        <v>0</v>
      </c>
      <c r="E99" s="2">
        <f t="shared" ref="E99:F99" si="29">E101+E102+E103</f>
        <v>0</v>
      </c>
      <c r="F99" s="2">
        <f t="shared" si="29"/>
        <v>0</v>
      </c>
      <c r="G99" s="5">
        <f t="shared" si="28"/>
        <v>0</v>
      </c>
      <c r="H99" s="2">
        <f t="shared" ref="H99:I99" si="30">H101+H102+H103</f>
        <v>0</v>
      </c>
      <c r="I99" s="4">
        <f t="shared" si="30"/>
        <v>0</v>
      </c>
    </row>
    <row r="100" spans="1:9" ht="18.75" x14ac:dyDescent="0.25">
      <c r="A100" s="115" t="s">
        <v>6</v>
      </c>
      <c r="B100" s="119"/>
      <c r="C100" s="119"/>
      <c r="D100" s="5"/>
      <c r="E100" s="2"/>
      <c r="F100" s="2"/>
      <c r="G100" s="5"/>
      <c r="H100" s="2"/>
      <c r="I100" s="4"/>
    </row>
    <row r="101" spans="1:9" ht="18.75" x14ac:dyDescent="0.25">
      <c r="A101" s="115" t="s">
        <v>194</v>
      </c>
      <c r="B101" s="119">
        <v>180</v>
      </c>
      <c r="C101" s="119" t="s">
        <v>5</v>
      </c>
      <c r="D101" s="5">
        <f t="shared" si="20"/>
        <v>0</v>
      </c>
      <c r="E101" s="2"/>
      <c r="F101" s="2"/>
      <c r="G101" s="5">
        <f t="shared" ref="G101:G103" si="31">H101+I101</f>
        <v>0</v>
      </c>
      <c r="H101" s="2"/>
      <c r="I101" s="4"/>
    </row>
    <row r="102" spans="1:9" ht="56.25" x14ac:dyDescent="0.25">
      <c r="A102" s="115" t="s">
        <v>195</v>
      </c>
      <c r="B102" s="119">
        <v>180</v>
      </c>
      <c r="C102" s="119" t="s">
        <v>5</v>
      </c>
      <c r="D102" s="5">
        <f t="shared" si="20"/>
        <v>0</v>
      </c>
      <c r="E102" s="2"/>
      <c r="F102" s="2"/>
      <c r="G102" s="5">
        <f t="shared" si="31"/>
        <v>0</v>
      </c>
      <c r="H102" s="2"/>
      <c r="I102" s="4"/>
    </row>
    <row r="103" spans="1:9" ht="57" thickBot="1" x14ac:dyDescent="0.3">
      <c r="A103" s="32" t="s">
        <v>196</v>
      </c>
      <c r="B103" s="33">
        <v>180</v>
      </c>
      <c r="C103" s="33" t="s">
        <v>5</v>
      </c>
      <c r="D103" s="34">
        <f t="shared" si="20"/>
        <v>0</v>
      </c>
      <c r="E103" s="35"/>
      <c r="F103" s="35"/>
      <c r="G103" s="34">
        <f t="shared" si="31"/>
        <v>0</v>
      </c>
      <c r="H103" s="35"/>
      <c r="I103" s="100"/>
    </row>
    <row r="104" spans="1:9" ht="18.75" x14ac:dyDescent="0.25">
      <c r="A104" s="15"/>
      <c r="B104" s="19"/>
      <c r="C104" s="19"/>
      <c r="D104" s="36"/>
      <c r="E104" s="36"/>
      <c r="F104" s="36"/>
    </row>
    <row r="105" spans="1:9" x14ac:dyDescent="0.25">
      <c r="A105" s="11"/>
    </row>
    <row r="106" spans="1:9" ht="37.5" x14ac:dyDescent="0.3">
      <c r="A106" s="29" t="s">
        <v>52</v>
      </c>
      <c r="B106" s="219"/>
      <c r="C106" s="219"/>
      <c r="D106" s="10"/>
      <c r="E106" s="219"/>
      <c r="F106" s="219"/>
    </row>
    <row r="107" spans="1:9" ht="18.75" x14ac:dyDescent="0.3">
      <c r="A107" s="29"/>
      <c r="B107" s="218" t="s">
        <v>53</v>
      </c>
      <c r="C107" s="218"/>
      <c r="D107" s="10"/>
      <c r="E107" s="218" t="s">
        <v>54</v>
      </c>
      <c r="F107" s="218"/>
    </row>
    <row r="108" spans="1:9" ht="18.75" x14ac:dyDescent="0.3">
      <c r="A108" s="29"/>
      <c r="B108" s="10"/>
      <c r="C108" s="10"/>
      <c r="D108" s="10"/>
      <c r="E108" s="10"/>
      <c r="F108" s="10"/>
    </row>
    <row r="109" spans="1:9" ht="37.5" x14ac:dyDescent="0.3">
      <c r="A109" s="29" t="s">
        <v>55</v>
      </c>
      <c r="B109" s="219"/>
      <c r="C109" s="219"/>
      <c r="D109" s="10"/>
      <c r="E109" s="219"/>
      <c r="F109" s="219"/>
    </row>
    <row r="110" spans="1:9" ht="18.75" x14ac:dyDescent="0.3">
      <c r="A110" s="29"/>
      <c r="B110" s="218" t="s">
        <v>53</v>
      </c>
      <c r="C110" s="218"/>
      <c r="D110" s="10"/>
      <c r="E110" s="218" t="s">
        <v>54</v>
      </c>
      <c r="F110" s="218"/>
    </row>
    <row r="111" spans="1:9" ht="18.75" x14ac:dyDescent="0.3">
      <c r="A111" s="29"/>
      <c r="B111" s="116"/>
      <c r="C111" s="116"/>
      <c r="D111" s="10"/>
      <c r="E111" s="116"/>
      <c r="F111" s="116"/>
    </row>
    <row r="112" spans="1:9" ht="18.75" x14ac:dyDescent="0.3">
      <c r="A112" s="29" t="s">
        <v>56</v>
      </c>
      <c r="B112" s="219"/>
      <c r="C112" s="219"/>
      <c r="D112" s="10"/>
      <c r="E112" s="219"/>
      <c r="F112" s="219"/>
    </row>
    <row r="113" spans="1:16" ht="18.75" x14ac:dyDescent="0.3">
      <c r="A113" s="29"/>
      <c r="B113" s="218" t="s">
        <v>53</v>
      </c>
      <c r="C113" s="218"/>
      <c r="D113" s="10"/>
      <c r="E113" s="218" t="s">
        <v>54</v>
      </c>
      <c r="F113" s="218"/>
    </row>
    <row r="114" spans="1:16" ht="18.75" x14ac:dyDescent="0.3">
      <c r="A114" s="29" t="s">
        <v>57</v>
      </c>
      <c r="B114" s="10"/>
      <c r="C114" s="10"/>
      <c r="D114" s="10"/>
      <c r="E114" s="10"/>
      <c r="F114" s="10"/>
    </row>
    <row r="115" spans="1:16" ht="18.75" x14ac:dyDescent="0.3">
      <c r="A115" s="217" t="s">
        <v>44</v>
      </c>
      <c r="B115" s="217"/>
      <c r="C115" s="10"/>
      <c r="D115" s="10"/>
      <c r="E115" s="10"/>
      <c r="F115" s="10"/>
    </row>
    <row r="116" spans="1:16" ht="18.75" x14ac:dyDescent="0.25">
      <c r="A116" s="314" t="s">
        <v>192</v>
      </c>
      <c r="B116" s="314"/>
      <c r="C116" s="314"/>
      <c r="D116" s="314"/>
      <c r="E116" s="314"/>
      <c r="F116" s="314"/>
      <c r="G116" s="314"/>
      <c r="H116" s="314"/>
      <c r="I116" s="314"/>
      <c r="K116" s="313" t="s">
        <v>233</v>
      </c>
      <c r="L116" s="313"/>
      <c r="M116" s="313"/>
      <c r="N116" s="313" t="s">
        <v>234</v>
      </c>
      <c r="O116" s="313"/>
      <c r="P116" s="313"/>
    </row>
    <row r="117" spans="1:16" ht="60" x14ac:dyDescent="0.25">
      <c r="A117" s="83" t="s">
        <v>236</v>
      </c>
      <c r="B117" s="85" t="s">
        <v>5</v>
      </c>
      <c r="C117" s="85" t="s">
        <v>5</v>
      </c>
      <c r="D117" s="5">
        <f t="shared" ref="D117:D118" si="32">E117+F117</f>
        <v>0</v>
      </c>
      <c r="E117" s="2"/>
      <c r="F117" s="4"/>
      <c r="G117" s="5">
        <f t="shared" ref="G117:G118" si="33">H117+I117</f>
        <v>0</v>
      </c>
      <c r="H117" s="2"/>
      <c r="I117" s="4"/>
      <c r="J117" s="36"/>
      <c r="K117" s="71" t="s">
        <v>230</v>
      </c>
      <c r="L117" s="71" t="s">
        <v>231</v>
      </c>
      <c r="M117" s="71" t="s">
        <v>232</v>
      </c>
      <c r="N117" s="71" t="s">
        <v>230</v>
      </c>
      <c r="O117" s="71" t="s">
        <v>231</v>
      </c>
      <c r="P117" s="71" t="s">
        <v>232</v>
      </c>
    </row>
    <row r="118" spans="1:16" ht="18.75" x14ac:dyDescent="0.25">
      <c r="A118" s="83" t="s">
        <v>7</v>
      </c>
      <c r="B118" s="85" t="s">
        <v>5</v>
      </c>
      <c r="C118" s="85">
        <v>900</v>
      </c>
      <c r="D118" s="5">
        <f t="shared" si="32"/>
        <v>0</v>
      </c>
      <c r="E118" s="2">
        <f>E121+E149+E163+E191</f>
        <v>0</v>
      </c>
      <c r="F118" s="2">
        <f>F121+F149</f>
        <v>0</v>
      </c>
      <c r="G118" s="5">
        <f t="shared" si="33"/>
        <v>0</v>
      </c>
      <c r="H118" s="2">
        <f>H121+H149+H163+H191</f>
        <v>0</v>
      </c>
      <c r="I118" s="2">
        <f>I121+I149</f>
        <v>0</v>
      </c>
      <c r="J118" s="36"/>
      <c r="K118" s="72">
        <f>E31+E32+E33+E35+E41+E55+E56+E57+E62+E64+E65+E66+E70+E71+E72+E73+E74+E75+E78+E79+E80+E82+E85</f>
        <v>0</v>
      </c>
      <c r="L118" s="72">
        <f>K118+D118</f>
        <v>0</v>
      </c>
      <c r="M118" s="72">
        <f>L118-E25</f>
        <v>0</v>
      </c>
      <c r="N118" s="72">
        <f>H31+H32+H33+H35+H41+H55+H56+H57+H62+H64+H65+H66+H70+H71+H72+H73+H74+H75+H78+H79+H80+H82+H85</f>
        <v>0</v>
      </c>
      <c r="O118" s="72">
        <f>N118+G118</f>
        <v>0</v>
      </c>
      <c r="P118" s="72">
        <f>O118-H25</f>
        <v>0</v>
      </c>
    </row>
    <row r="119" spans="1:16" ht="18.75" x14ac:dyDescent="0.25">
      <c r="A119" s="83" t="s">
        <v>6</v>
      </c>
      <c r="B119" s="85"/>
      <c r="C119" s="85"/>
      <c r="D119" s="5"/>
      <c r="E119" s="2"/>
      <c r="F119" s="4"/>
      <c r="G119" s="5"/>
      <c r="H119" s="2"/>
      <c r="I119" s="4"/>
      <c r="J119" s="36"/>
      <c r="K119" s="36"/>
      <c r="L119" s="36"/>
    </row>
    <row r="120" spans="1:16" ht="17.45" customHeight="1" x14ac:dyDescent="0.25">
      <c r="A120" s="315" t="s">
        <v>200</v>
      </c>
      <c r="B120" s="316"/>
      <c r="C120" s="316"/>
      <c r="D120" s="316"/>
      <c r="E120" s="316"/>
      <c r="F120" s="316"/>
      <c r="G120" s="316"/>
      <c r="H120" s="316"/>
      <c r="I120" s="316"/>
      <c r="J120" s="76"/>
      <c r="K120" s="76"/>
      <c r="L120" s="76"/>
    </row>
    <row r="121" spans="1:16" ht="18.75" x14ac:dyDescent="0.25">
      <c r="A121" s="83" t="s">
        <v>8</v>
      </c>
      <c r="B121" s="85" t="s">
        <v>5</v>
      </c>
      <c r="C121" s="85">
        <v>200</v>
      </c>
      <c r="D121" s="5">
        <f t="shared" ref="D121:D153" si="34">E121+F121</f>
        <v>0</v>
      </c>
      <c r="E121" s="2">
        <f>E123+E126+E145</f>
        <v>0</v>
      </c>
      <c r="F121" s="2">
        <f>F123+F126+F145</f>
        <v>0</v>
      </c>
      <c r="G121" s="5">
        <f t="shared" ref="G121" si="35">H121+I121</f>
        <v>0</v>
      </c>
      <c r="H121" s="2">
        <f>H123+H126+H145</f>
        <v>0</v>
      </c>
      <c r="I121" s="2">
        <f>I123+I126+I145</f>
        <v>0</v>
      </c>
      <c r="J121" s="36"/>
      <c r="K121" s="36"/>
      <c r="L121" s="36"/>
    </row>
    <row r="122" spans="1:16" ht="18.75" x14ac:dyDescent="0.25">
      <c r="A122" s="83" t="s">
        <v>9</v>
      </c>
      <c r="B122" s="85"/>
      <c r="C122" s="85"/>
      <c r="D122" s="5"/>
      <c r="E122" s="2"/>
      <c r="F122" s="2"/>
      <c r="G122" s="5"/>
      <c r="H122" s="2"/>
      <c r="I122" s="2"/>
      <c r="J122" s="36"/>
      <c r="K122" s="36"/>
      <c r="L122" s="36"/>
    </row>
    <row r="123" spans="1:16" ht="75" x14ac:dyDescent="0.25">
      <c r="A123" s="83" t="s">
        <v>10</v>
      </c>
      <c r="B123" s="85" t="s">
        <v>5</v>
      </c>
      <c r="C123" s="85">
        <v>210</v>
      </c>
      <c r="D123" s="5">
        <f t="shared" si="34"/>
        <v>0</v>
      </c>
      <c r="E123" s="2">
        <f>E125</f>
        <v>0</v>
      </c>
      <c r="F123" s="2">
        <f>F125</f>
        <v>0</v>
      </c>
      <c r="G123" s="5">
        <f t="shared" ref="G123" si="36">H123+I123</f>
        <v>0</v>
      </c>
      <c r="H123" s="2">
        <f>H125</f>
        <v>0</v>
      </c>
      <c r="I123" s="2">
        <f>I125</f>
        <v>0</v>
      </c>
      <c r="J123" s="36"/>
      <c r="K123" s="36"/>
      <c r="L123" s="36"/>
    </row>
    <row r="124" spans="1:16" ht="18.75" x14ac:dyDescent="0.25">
      <c r="A124" s="83" t="s">
        <v>9</v>
      </c>
      <c r="B124" s="85"/>
      <c r="C124" s="85"/>
      <c r="D124" s="5"/>
      <c r="E124" s="2"/>
      <c r="F124" s="2"/>
      <c r="G124" s="5"/>
      <c r="H124" s="2"/>
      <c r="I124" s="2"/>
      <c r="J124" s="36"/>
      <c r="K124" s="36"/>
      <c r="L124" s="36"/>
    </row>
    <row r="125" spans="1:16" ht="93.75" x14ac:dyDescent="0.25">
      <c r="A125" s="83" t="s">
        <v>201</v>
      </c>
      <c r="B125" s="85">
        <v>244</v>
      </c>
      <c r="C125" s="85">
        <v>214</v>
      </c>
      <c r="D125" s="5">
        <f>E125+F125</f>
        <v>0</v>
      </c>
      <c r="E125" s="2"/>
      <c r="F125" s="2"/>
      <c r="G125" s="5">
        <f>H125+I125</f>
        <v>0</v>
      </c>
      <c r="H125" s="2"/>
      <c r="I125" s="2"/>
      <c r="J125" s="36"/>
      <c r="K125" s="36"/>
      <c r="L125" s="36"/>
    </row>
    <row r="126" spans="1:16" ht="37.5" x14ac:dyDescent="0.25">
      <c r="A126" s="83" t="s">
        <v>14</v>
      </c>
      <c r="B126" s="85" t="s">
        <v>5</v>
      </c>
      <c r="C126" s="85">
        <v>220</v>
      </c>
      <c r="D126" s="5">
        <f t="shared" si="34"/>
        <v>0</v>
      </c>
      <c r="E126" s="2">
        <f>E128+E129+E130+E137+E138+E141+E144</f>
        <v>0</v>
      </c>
      <c r="F126" s="2">
        <f>F128+F129+F130+F137+F138+F141+F144</f>
        <v>0</v>
      </c>
      <c r="G126" s="5">
        <f t="shared" ref="G126" si="37">H126+I126</f>
        <v>0</v>
      </c>
      <c r="H126" s="2">
        <f>H128+H129+H130+H137+H138+H141+H144</f>
        <v>0</v>
      </c>
      <c r="I126" s="2">
        <f>I128+I129+I130+I137+I138+I141+I144</f>
        <v>0</v>
      </c>
      <c r="J126" s="36"/>
      <c r="K126" s="36"/>
      <c r="L126" s="36"/>
    </row>
    <row r="127" spans="1:16" ht="18.75" x14ac:dyDescent="0.25">
      <c r="A127" s="83" t="s">
        <v>9</v>
      </c>
      <c r="B127" s="85"/>
      <c r="C127" s="85"/>
      <c r="D127" s="5"/>
      <c r="E127" s="2"/>
      <c r="F127" s="2"/>
      <c r="G127" s="5"/>
      <c r="H127" s="2"/>
      <c r="I127" s="2"/>
      <c r="J127" s="36"/>
      <c r="K127" s="36"/>
      <c r="L127" s="36"/>
    </row>
    <row r="128" spans="1:16" ht="18.75" x14ac:dyDescent="0.25">
      <c r="A128" s="83" t="s">
        <v>15</v>
      </c>
      <c r="B128" s="85">
        <v>244</v>
      </c>
      <c r="C128" s="85">
        <v>221</v>
      </c>
      <c r="D128" s="5">
        <f t="shared" si="34"/>
        <v>0</v>
      </c>
      <c r="E128" s="2"/>
      <c r="F128" s="2"/>
      <c r="G128" s="5">
        <f t="shared" ref="G128:G130" si="38">H128+I128</f>
        <v>0</v>
      </c>
      <c r="H128" s="2"/>
      <c r="I128" s="2"/>
      <c r="J128" s="36"/>
      <c r="K128" s="36"/>
      <c r="L128" s="36"/>
    </row>
    <row r="129" spans="1:12" ht="37.5" x14ac:dyDescent="0.25">
      <c r="A129" s="83" t="s">
        <v>16</v>
      </c>
      <c r="B129" s="85">
        <v>244</v>
      </c>
      <c r="C129" s="85">
        <v>222</v>
      </c>
      <c r="D129" s="5">
        <f t="shared" si="34"/>
        <v>0</v>
      </c>
      <c r="E129" s="2"/>
      <c r="F129" s="2"/>
      <c r="G129" s="5">
        <f t="shared" si="38"/>
        <v>0</v>
      </c>
      <c r="H129" s="2"/>
      <c r="I129" s="2"/>
      <c r="J129" s="36"/>
      <c r="K129" s="36"/>
      <c r="L129" s="36"/>
    </row>
    <row r="130" spans="1:12" ht="37.5" x14ac:dyDescent="0.25">
      <c r="A130" s="83" t="s">
        <v>17</v>
      </c>
      <c r="B130" s="85" t="s">
        <v>5</v>
      </c>
      <c r="C130" s="85">
        <v>223</v>
      </c>
      <c r="D130" s="5">
        <f t="shared" si="34"/>
        <v>0</v>
      </c>
      <c r="E130" s="2">
        <f t="shared" ref="E130:F130" si="39">E132+E133+E134+E135+E136</f>
        <v>0</v>
      </c>
      <c r="F130" s="2">
        <f t="shared" si="39"/>
        <v>0</v>
      </c>
      <c r="G130" s="5">
        <f t="shared" si="38"/>
        <v>0</v>
      </c>
      <c r="H130" s="2">
        <f t="shared" ref="H130:I130" si="40">H132+H133+H134+H135+H136</f>
        <v>0</v>
      </c>
      <c r="I130" s="2">
        <f t="shared" si="40"/>
        <v>0</v>
      </c>
      <c r="J130" s="36"/>
      <c r="K130" s="36"/>
      <c r="L130" s="36"/>
    </row>
    <row r="131" spans="1:12" ht="18.75" x14ac:dyDescent="0.25">
      <c r="A131" s="83" t="s">
        <v>6</v>
      </c>
      <c r="B131" s="85"/>
      <c r="C131" s="85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56.25" x14ac:dyDescent="0.25">
      <c r="A132" s="83" t="s">
        <v>18</v>
      </c>
      <c r="B132" s="85">
        <v>244</v>
      </c>
      <c r="C132" s="85">
        <v>223</v>
      </c>
      <c r="D132" s="5">
        <f t="shared" si="34"/>
        <v>0</v>
      </c>
      <c r="E132" s="2"/>
      <c r="F132" s="2"/>
      <c r="G132" s="5">
        <f t="shared" ref="G132:G137" si="41">H132+I132</f>
        <v>0</v>
      </c>
      <c r="H132" s="2"/>
      <c r="I132" s="2"/>
      <c r="J132" s="36"/>
      <c r="K132" s="36"/>
      <c r="L132" s="36"/>
    </row>
    <row r="133" spans="1:12" ht="37.5" x14ac:dyDescent="0.25">
      <c r="A133" s="83" t="s">
        <v>19</v>
      </c>
      <c r="B133" s="85">
        <v>244</v>
      </c>
      <c r="C133" s="85">
        <v>223</v>
      </c>
      <c r="D133" s="5">
        <f t="shared" si="34"/>
        <v>0</v>
      </c>
      <c r="E133" s="2"/>
      <c r="F133" s="2"/>
      <c r="G133" s="5">
        <f t="shared" si="41"/>
        <v>0</v>
      </c>
      <c r="H133" s="2"/>
      <c r="I133" s="2"/>
      <c r="J133" s="36"/>
      <c r="K133" s="36"/>
      <c r="L133" s="36"/>
    </row>
    <row r="134" spans="1:12" ht="75" x14ac:dyDescent="0.25">
      <c r="A134" s="83" t="s">
        <v>20</v>
      </c>
      <c r="B134" s="85">
        <v>244</v>
      </c>
      <c r="C134" s="85">
        <v>223</v>
      </c>
      <c r="D134" s="5">
        <f t="shared" si="34"/>
        <v>0</v>
      </c>
      <c r="E134" s="2"/>
      <c r="F134" s="2"/>
      <c r="G134" s="5">
        <f t="shared" si="41"/>
        <v>0</v>
      </c>
      <c r="H134" s="2"/>
      <c r="I134" s="2"/>
      <c r="J134" s="36"/>
      <c r="K134" s="36"/>
      <c r="L134" s="36"/>
    </row>
    <row r="135" spans="1:12" ht="75" x14ac:dyDescent="0.25">
      <c r="A135" s="83" t="s">
        <v>21</v>
      </c>
      <c r="B135" s="85">
        <v>244</v>
      </c>
      <c r="C135" s="85">
        <v>223</v>
      </c>
      <c r="D135" s="5">
        <f t="shared" si="34"/>
        <v>0</v>
      </c>
      <c r="E135" s="2"/>
      <c r="F135" s="2"/>
      <c r="G135" s="5">
        <f t="shared" si="41"/>
        <v>0</v>
      </c>
      <c r="H135" s="2"/>
      <c r="I135" s="2"/>
      <c r="J135" s="36"/>
      <c r="K135" s="36"/>
      <c r="L135" s="36"/>
    </row>
    <row r="136" spans="1:12" ht="56.25" x14ac:dyDescent="0.25">
      <c r="A136" s="83" t="s">
        <v>22</v>
      </c>
      <c r="B136" s="85">
        <v>244</v>
      </c>
      <c r="C136" s="85">
        <v>223</v>
      </c>
      <c r="D136" s="5">
        <f t="shared" si="34"/>
        <v>0</v>
      </c>
      <c r="E136" s="2"/>
      <c r="F136" s="2"/>
      <c r="G136" s="5">
        <f t="shared" si="41"/>
        <v>0</v>
      </c>
      <c r="H136" s="2"/>
      <c r="I136" s="2"/>
      <c r="J136" s="36"/>
      <c r="K136" s="36"/>
      <c r="L136" s="36"/>
    </row>
    <row r="137" spans="1:12" ht="168.75" x14ac:dyDescent="0.25">
      <c r="A137" s="83" t="s">
        <v>23</v>
      </c>
      <c r="B137" s="85">
        <v>244</v>
      </c>
      <c r="C137" s="85">
        <v>224</v>
      </c>
      <c r="D137" s="5">
        <f t="shared" si="34"/>
        <v>0</v>
      </c>
      <c r="E137" s="2"/>
      <c r="F137" s="2"/>
      <c r="G137" s="5">
        <f t="shared" si="41"/>
        <v>0</v>
      </c>
      <c r="H137" s="2"/>
      <c r="I137" s="2"/>
      <c r="J137" s="36"/>
      <c r="K137" s="36"/>
      <c r="L137" s="36"/>
    </row>
    <row r="138" spans="1:12" ht="56.25" x14ac:dyDescent="0.25">
      <c r="A138" s="83" t="s">
        <v>24</v>
      </c>
      <c r="B138" s="85" t="s">
        <v>5</v>
      </c>
      <c r="C138" s="85">
        <v>225</v>
      </c>
      <c r="D138" s="2">
        <f t="shared" ref="D138:G138" si="42">D139+D140</f>
        <v>0</v>
      </c>
      <c r="E138" s="2">
        <f>E139+E140</f>
        <v>0</v>
      </c>
      <c r="F138" s="2">
        <f t="shared" si="42"/>
        <v>0</v>
      </c>
      <c r="G138" s="2">
        <f t="shared" si="42"/>
        <v>0</v>
      </c>
      <c r="H138" s="2">
        <f>H139+H140</f>
        <v>0</v>
      </c>
      <c r="I138" s="2">
        <f t="shared" ref="I138" si="43">I139+I140</f>
        <v>0</v>
      </c>
      <c r="J138" s="36"/>
      <c r="K138" s="36"/>
      <c r="L138" s="36"/>
    </row>
    <row r="139" spans="1:12" ht="18.75" x14ac:dyDescent="0.25">
      <c r="A139" s="216" t="s">
        <v>6</v>
      </c>
      <c r="B139" s="85">
        <v>243</v>
      </c>
      <c r="C139" s="85">
        <v>225</v>
      </c>
      <c r="D139" s="5">
        <f t="shared" si="34"/>
        <v>0</v>
      </c>
      <c r="E139" s="2"/>
      <c r="F139" s="2"/>
      <c r="G139" s="5">
        <f t="shared" ref="G139:G149" si="44">H139+I139</f>
        <v>0</v>
      </c>
      <c r="H139" s="2"/>
      <c r="I139" s="2"/>
      <c r="J139" s="36"/>
      <c r="K139" s="36"/>
      <c r="L139" s="36"/>
    </row>
    <row r="140" spans="1:12" ht="18.75" x14ac:dyDescent="0.25">
      <c r="A140" s="216"/>
      <c r="B140" s="85">
        <v>244</v>
      </c>
      <c r="C140" s="85">
        <v>225</v>
      </c>
      <c r="D140" s="5">
        <f t="shared" si="34"/>
        <v>0</v>
      </c>
      <c r="E140" s="2"/>
      <c r="F140" s="2"/>
      <c r="G140" s="5">
        <f t="shared" si="44"/>
        <v>0</v>
      </c>
      <c r="H140" s="2"/>
      <c r="I140" s="2"/>
      <c r="J140" s="36"/>
      <c r="K140" s="36"/>
      <c r="L140" s="36"/>
    </row>
    <row r="141" spans="1:12" ht="37.5" x14ac:dyDescent="0.25">
      <c r="A141" s="83" t="s">
        <v>58</v>
      </c>
      <c r="B141" s="85" t="s">
        <v>5</v>
      </c>
      <c r="C141" s="85">
        <v>226</v>
      </c>
      <c r="D141" s="5">
        <f t="shared" si="34"/>
        <v>0</v>
      </c>
      <c r="E141" s="2">
        <f>E142+E143</f>
        <v>0</v>
      </c>
      <c r="F141" s="2">
        <f>F142+F143</f>
        <v>0</v>
      </c>
      <c r="G141" s="5">
        <f t="shared" si="44"/>
        <v>0</v>
      </c>
      <c r="H141" s="2">
        <f>H142+H143</f>
        <v>0</v>
      </c>
      <c r="I141" s="2">
        <f>I142+I143</f>
        <v>0</v>
      </c>
      <c r="J141" s="36"/>
      <c r="K141" s="36"/>
      <c r="L141" s="36"/>
    </row>
    <row r="142" spans="1:12" ht="18.75" x14ac:dyDescent="0.25">
      <c r="A142" s="216" t="s">
        <v>6</v>
      </c>
      <c r="B142" s="85">
        <v>243</v>
      </c>
      <c r="C142" s="85">
        <v>226</v>
      </c>
      <c r="D142" s="5">
        <f t="shared" si="34"/>
        <v>0</v>
      </c>
      <c r="E142" s="2"/>
      <c r="F142" s="2"/>
      <c r="G142" s="5">
        <f t="shared" si="44"/>
        <v>0</v>
      </c>
      <c r="H142" s="2"/>
      <c r="I142" s="2"/>
      <c r="J142" s="36"/>
      <c r="K142" s="36"/>
      <c r="L142" s="36"/>
    </row>
    <row r="143" spans="1:12" ht="18.75" x14ac:dyDescent="0.25">
      <c r="A143" s="216"/>
      <c r="B143" s="85">
        <v>244</v>
      </c>
      <c r="C143" s="85">
        <v>226</v>
      </c>
      <c r="D143" s="5">
        <f t="shared" si="34"/>
        <v>0</v>
      </c>
      <c r="E143" s="2"/>
      <c r="F143" s="2"/>
      <c r="G143" s="5">
        <f t="shared" si="44"/>
        <v>0</v>
      </c>
      <c r="H143" s="2"/>
      <c r="I143" s="2"/>
      <c r="J143" s="36"/>
      <c r="K143" s="36"/>
      <c r="L143" s="36"/>
    </row>
    <row r="144" spans="1:12" ht="18.75" x14ac:dyDescent="0.25">
      <c r="A144" s="83" t="s">
        <v>25</v>
      </c>
      <c r="B144" s="85">
        <v>244</v>
      </c>
      <c r="C144" s="85">
        <v>227</v>
      </c>
      <c r="D144" s="5">
        <f t="shared" si="34"/>
        <v>0</v>
      </c>
      <c r="E144" s="2"/>
      <c r="F144" s="2"/>
      <c r="G144" s="5">
        <f t="shared" si="44"/>
        <v>0</v>
      </c>
      <c r="H144" s="2"/>
      <c r="I144" s="2"/>
      <c r="J144" s="36"/>
      <c r="K144" s="36"/>
      <c r="L144" s="36"/>
    </row>
    <row r="145" spans="1:12" ht="18.75" x14ac:dyDescent="0.25">
      <c r="A145" s="83" t="s">
        <v>30</v>
      </c>
      <c r="B145" s="85" t="s">
        <v>5</v>
      </c>
      <c r="C145" s="85">
        <v>290</v>
      </c>
      <c r="D145" s="5">
        <f t="shared" si="34"/>
        <v>0</v>
      </c>
      <c r="E145" s="2">
        <f>E147+E148</f>
        <v>0</v>
      </c>
      <c r="F145" s="2">
        <f>F147+F148</f>
        <v>0</v>
      </c>
      <c r="G145" s="5">
        <f t="shared" si="44"/>
        <v>0</v>
      </c>
      <c r="H145" s="2">
        <f>H147+H148</f>
        <v>0</v>
      </c>
      <c r="I145" s="2">
        <f>I147+I148</f>
        <v>0</v>
      </c>
      <c r="J145" s="36"/>
      <c r="K145" s="36"/>
      <c r="L145" s="36"/>
    </row>
    <row r="146" spans="1:12" ht="18.75" x14ac:dyDescent="0.25">
      <c r="A146" s="83" t="s">
        <v>9</v>
      </c>
      <c r="B146" s="85"/>
      <c r="C146" s="85"/>
      <c r="D146" s="5">
        <f t="shared" si="34"/>
        <v>0</v>
      </c>
      <c r="E146" s="2"/>
      <c r="F146" s="2"/>
      <c r="G146" s="5">
        <f t="shared" si="44"/>
        <v>0</v>
      </c>
      <c r="H146" s="2"/>
      <c r="I146" s="2"/>
      <c r="J146" s="36"/>
      <c r="K146" s="36"/>
      <c r="L146" s="36"/>
    </row>
    <row r="147" spans="1:12" ht="56.25" x14ac:dyDescent="0.25">
      <c r="A147" s="83" t="s">
        <v>34</v>
      </c>
      <c r="B147" s="85">
        <v>244</v>
      </c>
      <c r="C147" s="85">
        <v>296</v>
      </c>
      <c r="D147" s="5">
        <f t="shared" si="34"/>
        <v>0</v>
      </c>
      <c r="E147" s="2"/>
      <c r="F147" s="2"/>
      <c r="G147" s="5">
        <f t="shared" si="44"/>
        <v>0</v>
      </c>
      <c r="H147" s="2"/>
      <c r="I147" s="2"/>
      <c r="J147" s="36"/>
      <c r="K147" s="36"/>
      <c r="L147" s="36"/>
    </row>
    <row r="148" spans="1:12" ht="56.25" x14ac:dyDescent="0.25">
      <c r="A148" s="83" t="s">
        <v>35</v>
      </c>
      <c r="B148" s="85">
        <v>244</v>
      </c>
      <c r="C148" s="85">
        <v>297</v>
      </c>
      <c r="D148" s="5">
        <f t="shared" si="34"/>
        <v>0</v>
      </c>
      <c r="E148" s="2"/>
      <c r="F148" s="2"/>
      <c r="G148" s="5">
        <f t="shared" si="44"/>
        <v>0</v>
      </c>
      <c r="H148" s="2"/>
      <c r="I148" s="2"/>
      <c r="J148" s="36"/>
      <c r="K148" s="36"/>
      <c r="L148" s="36"/>
    </row>
    <row r="149" spans="1:12" ht="56.25" x14ac:dyDescent="0.25">
      <c r="A149" s="83" t="s">
        <v>59</v>
      </c>
      <c r="B149" s="85" t="s">
        <v>5</v>
      </c>
      <c r="C149" s="85">
        <v>300</v>
      </c>
      <c r="D149" s="5">
        <f t="shared" si="34"/>
        <v>0</v>
      </c>
      <c r="E149" s="2">
        <f>E151+E153+E152</f>
        <v>0</v>
      </c>
      <c r="F149" s="2">
        <f>F151+F153+F152</f>
        <v>0</v>
      </c>
      <c r="G149" s="5">
        <f t="shared" si="44"/>
        <v>0</v>
      </c>
      <c r="H149" s="2">
        <f>H151+H153+H152</f>
        <v>0</v>
      </c>
      <c r="I149" s="2">
        <f>I151+I153+I152</f>
        <v>0</v>
      </c>
      <c r="J149" s="36"/>
      <c r="K149" s="36"/>
      <c r="L149" s="36"/>
    </row>
    <row r="150" spans="1:12" ht="18.75" x14ac:dyDescent="0.25">
      <c r="A150" s="83" t="s">
        <v>9</v>
      </c>
      <c r="B150" s="85"/>
      <c r="C150" s="85"/>
      <c r="D150" s="5"/>
      <c r="E150" s="2"/>
      <c r="F150" s="2"/>
      <c r="G150" s="5"/>
      <c r="H150" s="2"/>
      <c r="I150" s="2"/>
      <c r="J150" s="36"/>
      <c r="K150" s="36"/>
      <c r="L150" s="36"/>
    </row>
    <row r="151" spans="1:12" ht="56.25" x14ac:dyDescent="0.25">
      <c r="A151" s="83" t="s">
        <v>36</v>
      </c>
      <c r="B151" s="85">
        <v>244</v>
      </c>
      <c r="C151" s="85">
        <v>310</v>
      </c>
      <c r="D151" s="5">
        <f t="shared" si="34"/>
        <v>0</v>
      </c>
      <c r="E151" s="2"/>
      <c r="F151" s="2"/>
      <c r="G151" s="5">
        <f t="shared" ref="G151:G153" si="45">H151+I151</f>
        <v>0</v>
      </c>
      <c r="H151" s="2"/>
      <c r="I151" s="2"/>
      <c r="J151" s="36"/>
      <c r="K151" s="36"/>
      <c r="L151" s="36"/>
    </row>
    <row r="152" spans="1:12" ht="75" x14ac:dyDescent="0.25">
      <c r="A152" s="83" t="s">
        <v>68</v>
      </c>
      <c r="B152" s="85">
        <v>244</v>
      </c>
      <c r="C152" s="85">
        <v>320</v>
      </c>
      <c r="D152" s="5">
        <f t="shared" si="34"/>
        <v>0</v>
      </c>
      <c r="E152" s="2"/>
      <c r="F152" s="2"/>
      <c r="G152" s="5">
        <f t="shared" si="45"/>
        <v>0</v>
      </c>
      <c r="H152" s="2"/>
      <c r="I152" s="2"/>
      <c r="J152" s="36"/>
      <c r="K152" s="36"/>
      <c r="L152" s="36"/>
    </row>
    <row r="153" spans="1:12" ht="75" x14ac:dyDescent="0.25">
      <c r="A153" s="83" t="s">
        <v>60</v>
      </c>
      <c r="B153" s="85" t="s">
        <v>5</v>
      </c>
      <c r="C153" s="85">
        <v>340</v>
      </c>
      <c r="D153" s="5">
        <f t="shared" si="34"/>
        <v>0</v>
      </c>
      <c r="E153" s="2">
        <f>E155+E156+E157+E158+E159+E160+E161</f>
        <v>0</v>
      </c>
      <c r="F153" s="2">
        <f>F155+F156+F157+F158+F159+F160+F161</f>
        <v>0</v>
      </c>
      <c r="G153" s="5">
        <f t="shared" si="45"/>
        <v>0</v>
      </c>
      <c r="H153" s="2">
        <f>H155+H156+H157+H158+H159+H160+H161</f>
        <v>0</v>
      </c>
      <c r="I153" s="2">
        <f>I155+I156+I157+I158+I159+I160+I161</f>
        <v>0</v>
      </c>
      <c r="J153" s="36"/>
      <c r="K153" s="36"/>
      <c r="L153" s="36"/>
    </row>
    <row r="154" spans="1:12" ht="18.75" x14ac:dyDescent="0.25">
      <c r="A154" s="83" t="s">
        <v>6</v>
      </c>
      <c r="B154" s="85"/>
      <c r="C154" s="85"/>
      <c r="D154" s="5"/>
      <c r="E154" s="2"/>
      <c r="F154" s="2"/>
      <c r="G154" s="5"/>
      <c r="H154" s="2"/>
      <c r="I154" s="2"/>
      <c r="J154" s="36"/>
      <c r="K154" s="36"/>
      <c r="L154" s="36"/>
    </row>
    <row r="155" spans="1:12" ht="131.25" x14ac:dyDescent="0.25">
      <c r="A155" s="83" t="s">
        <v>37</v>
      </c>
      <c r="B155" s="85">
        <v>244</v>
      </c>
      <c r="C155" s="85">
        <v>341</v>
      </c>
      <c r="D155" s="5">
        <f t="shared" ref="D155:D161" si="46">E155+F155</f>
        <v>0</v>
      </c>
      <c r="E155" s="2"/>
      <c r="F155" s="2"/>
      <c r="G155" s="5">
        <f t="shared" ref="G155:G161" si="47">H155+I155</f>
        <v>0</v>
      </c>
      <c r="H155" s="2"/>
      <c r="I155" s="2"/>
      <c r="J155" s="36"/>
      <c r="K155" s="36"/>
      <c r="L155" s="36"/>
    </row>
    <row r="156" spans="1:12" ht="56.25" x14ac:dyDescent="0.25">
      <c r="A156" s="83" t="s">
        <v>38</v>
      </c>
      <c r="B156" s="85">
        <v>244</v>
      </c>
      <c r="C156" s="85">
        <v>342</v>
      </c>
      <c r="D156" s="5">
        <f t="shared" si="46"/>
        <v>0</v>
      </c>
      <c r="E156" s="2"/>
      <c r="F156" s="2"/>
      <c r="G156" s="5">
        <f t="shared" si="47"/>
        <v>0</v>
      </c>
      <c r="H156" s="2"/>
      <c r="I156" s="2"/>
      <c r="J156" s="36"/>
      <c r="K156" s="36"/>
      <c r="L156" s="36"/>
    </row>
    <row r="157" spans="1:12" ht="75" x14ac:dyDescent="0.25">
      <c r="A157" s="83" t="s">
        <v>39</v>
      </c>
      <c r="B157" s="85">
        <v>244</v>
      </c>
      <c r="C157" s="85">
        <v>343</v>
      </c>
      <c r="D157" s="5">
        <f t="shared" si="46"/>
        <v>0</v>
      </c>
      <c r="E157" s="2"/>
      <c r="F157" s="2"/>
      <c r="G157" s="5">
        <f t="shared" si="47"/>
        <v>0</v>
      </c>
      <c r="H157" s="2"/>
      <c r="I157" s="2"/>
      <c r="J157" s="36"/>
      <c r="K157" s="36"/>
      <c r="L157" s="36"/>
    </row>
    <row r="158" spans="1:12" ht="75" x14ac:dyDescent="0.25">
      <c r="A158" s="83" t="s">
        <v>40</v>
      </c>
      <c r="B158" s="85">
        <v>244</v>
      </c>
      <c r="C158" s="85">
        <v>344</v>
      </c>
      <c r="D158" s="5">
        <f t="shared" si="46"/>
        <v>0</v>
      </c>
      <c r="E158" s="2"/>
      <c r="F158" s="2"/>
      <c r="G158" s="5">
        <f t="shared" si="47"/>
        <v>0</v>
      </c>
      <c r="H158" s="2"/>
      <c r="I158" s="2"/>
      <c r="J158" s="36"/>
      <c r="K158" s="36"/>
      <c r="L158" s="36"/>
    </row>
    <row r="159" spans="1:12" ht="56.25" x14ac:dyDescent="0.25">
      <c r="A159" s="83" t="s">
        <v>41</v>
      </c>
      <c r="B159" s="85">
        <v>244</v>
      </c>
      <c r="C159" s="85">
        <v>345</v>
      </c>
      <c r="D159" s="5">
        <f t="shared" si="46"/>
        <v>0</v>
      </c>
      <c r="E159" s="2"/>
      <c r="F159" s="2"/>
      <c r="G159" s="5">
        <f t="shared" si="47"/>
        <v>0</v>
      </c>
      <c r="H159" s="2"/>
      <c r="I159" s="2"/>
      <c r="J159" s="36"/>
      <c r="K159" s="36"/>
      <c r="L159" s="36"/>
    </row>
    <row r="160" spans="1:12" ht="75" x14ac:dyDescent="0.25">
      <c r="A160" s="83" t="s">
        <v>42</v>
      </c>
      <c r="B160" s="85">
        <v>244</v>
      </c>
      <c r="C160" s="85">
        <v>346</v>
      </c>
      <c r="D160" s="5">
        <f t="shared" si="46"/>
        <v>0</v>
      </c>
      <c r="E160" s="2"/>
      <c r="F160" s="2"/>
      <c r="G160" s="5">
        <f t="shared" si="47"/>
        <v>0</v>
      </c>
      <c r="H160" s="2"/>
      <c r="I160" s="2"/>
      <c r="J160" s="36"/>
      <c r="K160" s="36"/>
      <c r="L160" s="36"/>
    </row>
    <row r="161" spans="1:12" ht="112.5" x14ac:dyDescent="0.25">
      <c r="A161" s="83" t="s">
        <v>43</v>
      </c>
      <c r="B161" s="85">
        <v>244</v>
      </c>
      <c r="C161" s="85">
        <v>349</v>
      </c>
      <c r="D161" s="5">
        <f t="shared" si="46"/>
        <v>0</v>
      </c>
      <c r="E161" s="2"/>
      <c r="F161" s="2"/>
      <c r="G161" s="5">
        <f t="shared" si="47"/>
        <v>0</v>
      </c>
      <c r="H161" s="2"/>
      <c r="I161" s="2"/>
      <c r="J161" s="36"/>
      <c r="K161" s="36"/>
      <c r="L161" s="36"/>
    </row>
    <row r="162" spans="1:12" ht="17.45" customHeight="1" x14ac:dyDescent="0.25">
      <c r="A162" s="315" t="s">
        <v>202</v>
      </c>
      <c r="B162" s="316"/>
      <c r="C162" s="316"/>
      <c r="D162" s="316"/>
      <c r="E162" s="316"/>
      <c r="F162" s="316"/>
      <c r="G162" s="316"/>
      <c r="H162" s="316"/>
      <c r="I162" s="316"/>
      <c r="J162" s="76"/>
      <c r="K162" s="76"/>
      <c r="L162" s="76"/>
    </row>
    <row r="163" spans="1:12" ht="18.75" x14ac:dyDescent="0.25">
      <c r="A163" s="83" t="s">
        <v>8</v>
      </c>
      <c r="B163" s="85" t="s">
        <v>5</v>
      </c>
      <c r="C163" s="85">
        <v>200</v>
      </c>
      <c r="D163" s="5">
        <f t="shared" ref="D163" si="48">E163+F163</f>
        <v>0</v>
      </c>
      <c r="E163" s="2">
        <f>E165+E168+E187</f>
        <v>0</v>
      </c>
      <c r="F163" s="2">
        <f>F165+F168+F187</f>
        <v>0</v>
      </c>
      <c r="G163" s="5">
        <f t="shared" ref="G163" si="49">H163+I163</f>
        <v>0</v>
      </c>
      <c r="H163" s="2">
        <f>H165+H168+H187</f>
        <v>0</v>
      </c>
      <c r="I163" s="2">
        <f>I165+I168+I187</f>
        <v>0</v>
      </c>
      <c r="J163" s="36"/>
      <c r="K163" s="36"/>
      <c r="L163" s="36"/>
    </row>
    <row r="164" spans="1:12" ht="18.75" x14ac:dyDescent="0.25">
      <c r="A164" s="83" t="s">
        <v>9</v>
      </c>
      <c r="B164" s="85"/>
      <c r="C164" s="85"/>
      <c r="D164" s="5"/>
      <c r="E164" s="2"/>
      <c r="F164" s="2"/>
      <c r="G164" s="5"/>
      <c r="H164" s="2"/>
      <c r="I164" s="2"/>
      <c r="J164" s="36"/>
      <c r="K164" s="36"/>
      <c r="L164" s="36"/>
    </row>
    <row r="165" spans="1:12" ht="75" x14ac:dyDescent="0.25">
      <c r="A165" s="83" t="s">
        <v>10</v>
      </c>
      <c r="B165" s="85" t="s">
        <v>5</v>
      </c>
      <c r="C165" s="85">
        <v>210</v>
      </c>
      <c r="D165" s="5">
        <f t="shared" ref="D165" si="50">E165+F165</f>
        <v>0</v>
      </c>
      <c r="E165" s="2">
        <f>E167</f>
        <v>0</v>
      </c>
      <c r="F165" s="2">
        <f>F167</f>
        <v>0</v>
      </c>
      <c r="G165" s="5">
        <f t="shared" ref="G165" si="51">H165+I165</f>
        <v>0</v>
      </c>
      <c r="H165" s="2">
        <f>H167</f>
        <v>0</v>
      </c>
      <c r="I165" s="2">
        <f>I167</f>
        <v>0</v>
      </c>
      <c r="J165" s="36"/>
      <c r="K165" s="36"/>
      <c r="L165" s="36"/>
    </row>
    <row r="166" spans="1:12" ht="18.75" x14ac:dyDescent="0.25">
      <c r="A166" s="83" t="s">
        <v>9</v>
      </c>
      <c r="B166" s="85"/>
      <c r="C166" s="85"/>
      <c r="D166" s="5"/>
      <c r="E166" s="2"/>
      <c r="F166" s="2"/>
      <c r="G166" s="5"/>
      <c r="H166" s="2"/>
      <c r="I166" s="2"/>
      <c r="J166" s="36"/>
      <c r="K166" s="36"/>
      <c r="L166" s="36"/>
    </row>
    <row r="167" spans="1:12" ht="93.75" x14ac:dyDescent="0.25">
      <c r="A167" s="83" t="s">
        <v>201</v>
      </c>
      <c r="B167" s="85">
        <v>244</v>
      </c>
      <c r="C167" s="85">
        <v>214</v>
      </c>
      <c r="D167" s="5">
        <f>E167+F167</f>
        <v>0</v>
      </c>
      <c r="E167" s="70">
        <f>E36-E125</f>
        <v>0</v>
      </c>
      <c r="F167" s="2"/>
      <c r="G167" s="5">
        <f>H167+I167</f>
        <v>0</v>
      </c>
      <c r="H167" s="70">
        <f>H36-H125</f>
        <v>0</v>
      </c>
      <c r="I167" s="2"/>
      <c r="J167" s="36"/>
      <c r="K167" s="36"/>
      <c r="L167" s="36"/>
    </row>
    <row r="168" spans="1:12" ht="37.5" x14ac:dyDescent="0.25">
      <c r="A168" s="83" t="s">
        <v>14</v>
      </c>
      <c r="B168" s="85" t="s">
        <v>5</v>
      </c>
      <c r="C168" s="85">
        <v>220</v>
      </c>
      <c r="D168" s="5">
        <f t="shared" ref="D168" si="52">E168+F168</f>
        <v>0</v>
      </c>
      <c r="E168" s="2">
        <f>E170+E171+E172+E179+E180+E183+E186</f>
        <v>0</v>
      </c>
      <c r="F168" s="2">
        <f>F170+F171+F172+F179+F180+F183+F186</f>
        <v>0</v>
      </c>
      <c r="G168" s="5">
        <f t="shared" ref="G168" si="53">H168+I168</f>
        <v>0</v>
      </c>
      <c r="H168" s="2">
        <f>H170+H171+H172+H179+H180+H183+H186</f>
        <v>0</v>
      </c>
      <c r="I168" s="2">
        <f>I170+I171+I172+I179+I180+I183+I186</f>
        <v>0</v>
      </c>
      <c r="J168" s="36"/>
      <c r="K168" s="36"/>
      <c r="L168" s="36"/>
    </row>
    <row r="169" spans="1:12" ht="18.75" x14ac:dyDescent="0.25">
      <c r="A169" s="83" t="s">
        <v>9</v>
      </c>
      <c r="B169" s="85"/>
      <c r="C169" s="85"/>
      <c r="D169" s="5"/>
      <c r="E169" s="2"/>
      <c r="F169" s="2"/>
      <c r="G169" s="5"/>
      <c r="H169" s="2"/>
      <c r="I169" s="2"/>
      <c r="J169" s="36"/>
      <c r="K169" s="36"/>
      <c r="L169" s="36"/>
    </row>
    <row r="170" spans="1:12" ht="18.75" x14ac:dyDescent="0.25">
      <c r="A170" s="83" t="s">
        <v>15</v>
      </c>
      <c r="B170" s="85">
        <v>244</v>
      </c>
      <c r="C170" s="85">
        <v>221</v>
      </c>
      <c r="D170" s="5">
        <f t="shared" ref="D170:D172" si="54">E170+F170</f>
        <v>0</v>
      </c>
      <c r="E170" s="2">
        <f>E39-E128</f>
        <v>0</v>
      </c>
      <c r="F170" s="2"/>
      <c r="G170" s="5">
        <f t="shared" ref="G170:G172" si="55">H170+I170</f>
        <v>0</v>
      </c>
      <c r="H170" s="2">
        <f>H39-H128</f>
        <v>0</v>
      </c>
      <c r="I170" s="2"/>
      <c r="J170" s="36"/>
      <c r="K170" s="36"/>
      <c r="L170" s="36"/>
    </row>
    <row r="171" spans="1:12" ht="37.5" x14ac:dyDescent="0.25">
      <c r="A171" s="83" t="s">
        <v>16</v>
      </c>
      <c r="B171" s="85">
        <v>244</v>
      </c>
      <c r="C171" s="85">
        <v>222</v>
      </c>
      <c r="D171" s="5">
        <f t="shared" si="54"/>
        <v>0</v>
      </c>
      <c r="E171" s="70">
        <f>E42-E129</f>
        <v>0</v>
      </c>
      <c r="F171" s="2"/>
      <c r="G171" s="5">
        <f t="shared" si="55"/>
        <v>0</v>
      </c>
      <c r="H171" s="70">
        <f>H42-H129</f>
        <v>0</v>
      </c>
      <c r="I171" s="2"/>
      <c r="J171" s="36"/>
      <c r="K171" s="36"/>
      <c r="L171" s="36"/>
    </row>
    <row r="172" spans="1:12" ht="37.5" x14ac:dyDescent="0.25">
      <c r="A172" s="83" t="s">
        <v>17</v>
      </c>
      <c r="B172" s="85" t="s">
        <v>5</v>
      </c>
      <c r="C172" s="85">
        <v>223</v>
      </c>
      <c r="D172" s="5">
        <f t="shared" si="54"/>
        <v>0</v>
      </c>
      <c r="E172" s="2">
        <f t="shared" ref="E172:F172" si="56">E174+E175+E176+E177+E178</f>
        <v>0</v>
      </c>
      <c r="F172" s="2">
        <f t="shared" si="56"/>
        <v>0</v>
      </c>
      <c r="G172" s="5">
        <f t="shared" si="55"/>
        <v>0</v>
      </c>
      <c r="H172" s="2">
        <f t="shared" ref="H172:I172" si="57">H174+H175+H176+H177+H178</f>
        <v>0</v>
      </c>
      <c r="I172" s="2">
        <f t="shared" si="57"/>
        <v>0</v>
      </c>
      <c r="J172" s="36"/>
      <c r="K172" s="36"/>
      <c r="L172" s="36"/>
    </row>
    <row r="173" spans="1:12" ht="18.75" x14ac:dyDescent="0.25">
      <c r="A173" s="83" t="s">
        <v>6</v>
      </c>
      <c r="B173" s="85"/>
      <c r="C173" s="85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56.25" x14ac:dyDescent="0.25">
      <c r="A174" s="83" t="s">
        <v>18</v>
      </c>
      <c r="B174" s="85">
        <v>244</v>
      </c>
      <c r="C174" s="85">
        <v>223</v>
      </c>
      <c r="D174" s="5">
        <f t="shared" ref="D174:D179" si="58">E174+F174</f>
        <v>0</v>
      </c>
      <c r="E174" s="2">
        <f t="shared" ref="E174:E179" si="59">E45-E132</f>
        <v>0</v>
      </c>
      <c r="F174" s="2"/>
      <c r="G174" s="5">
        <f t="shared" ref="G174:G179" si="60">H174+I174</f>
        <v>0</v>
      </c>
      <c r="H174" s="2">
        <f t="shared" ref="H174:H179" si="61">H45-H132</f>
        <v>0</v>
      </c>
      <c r="I174" s="2"/>
      <c r="J174" s="36"/>
      <c r="K174" s="36"/>
      <c r="L174" s="36"/>
    </row>
    <row r="175" spans="1:12" ht="37.5" x14ac:dyDescent="0.25">
      <c r="A175" s="83" t="s">
        <v>19</v>
      </c>
      <c r="B175" s="85">
        <v>244</v>
      </c>
      <c r="C175" s="85">
        <v>223</v>
      </c>
      <c r="D175" s="5">
        <f t="shared" si="58"/>
        <v>0</v>
      </c>
      <c r="E175" s="2">
        <f t="shared" si="59"/>
        <v>0</v>
      </c>
      <c r="F175" s="2"/>
      <c r="G175" s="5">
        <f t="shared" si="60"/>
        <v>0</v>
      </c>
      <c r="H175" s="2">
        <f t="shared" si="61"/>
        <v>0</v>
      </c>
      <c r="I175" s="2"/>
      <c r="J175" s="36"/>
      <c r="K175" s="36"/>
      <c r="L175" s="36"/>
    </row>
    <row r="176" spans="1:12" ht="75" x14ac:dyDescent="0.25">
      <c r="A176" s="83" t="s">
        <v>20</v>
      </c>
      <c r="B176" s="85">
        <v>244</v>
      </c>
      <c r="C176" s="85">
        <v>223</v>
      </c>
      <c r="D176" s="5">
        <f t="shared" si="58"/>
        <v>0</v>
      </c>
      <c r="E176" s="2">
        <f t="shared" si="59"/>
        <v>0</v>
      </c>
      <c r="F176" s="2"/>
      <c r="G176" s="5">
        <f t="shared" si="60"/>
        <v>0</v>
      </c>
      <c r="H176" s="2">
        <f t="shared" si="61"/>
        <v>0</v>
      </c>
      <c r="I176" s="2"/>
      <c r="J176" s="36"/>
      <c r="K176" s="36"/>
      <c r="L176" s="36"/>
    </row>
    <row r="177" spans="1:12" ht="75" x14ac:dyDescent="0.25">
      <c r="A177" s="83" t="s">
        <v>21</v>
      </c>
      <c r="B177" s="85">
        <v>244</v>
      </c>
      <c r="C177" s="85">
        <v>223</v>
      </c>
      <c r="D177" s="5">
        <f t="shared" si="58"/>
        <v>0</v>
      </c>
      <c r="E177" s="2">
        <f t="shared" si="59"/>
        <v>0</v>
      </c>
      <c r="F177" s="2"/>
      <c r="G177" s="5">
        <f t="shared" si="60"/>
        <v>0</v>
      </c>
      <c r="H177" s="2">
        <f t="shared" si="61"/>
        <v>0</v>
      </c>
      <c r="I177" s="2"/>
      <c r="J177" s="36"/>
      <c r="K177" s="36"/>
      <c r="L177" s="36"/>
    </row>
    <row r="178" spans="1:12" ht="56.25" x14ac:dyDescent="0.25">
      <c r="A178" s="83" t="s">
        <v>22</v>
      </c>
      <c r="B178" s="85">
        <v>244</v>
      </c>
      <c r="C178" s="85">
        <v>223</v>
      </c>
      <c r="D178" s="5">
        <f t="shared" si="58"/>
        <v>0</v>
      </c>
      <c r="E178" s="2">
        <f t="shared" si="59"/>
        <v>0</v>
      </c>
      <c r="F178" s="2"/>
      <c r="G178" s="5">
        <f t="shared" si="60"/>
        <v>0</v>
      </c>
      <c r="H178" s="2">
        <f t="shared" si="61"/>
        <v>0</v>
      </c>
      <c r="I178" s="2"/>
      <c r="J178" s="36"/>
      <c r="K178" s="36"/>
      <c r="L178" s="36"/>
    </row>
    <row r="179" spans="1:12" ht="168.75" x14ac:dyDescent="0.25">
      <c r="A179" s="83" t="s">
        <v>23</v>
      </c>
      <c r="B179" s="85">
        <v>244</v>
      </c>
      <c r="C179" s="85">
        <v>224</v>
      </c>
      <c r="D179" s="5">
        <f t="shared" si="58"/>
        <v>0</v>
      </c>
      <c r="E179" s="2">
        <f t="shared" si="59"/>
        <v>0</v>
      </c>
      <c r="F179" s="2"/>
      <c r="G179" s="5">
        <f t="shared" si="60"/>
        <v>0</v>
      </c>
      <c r="H179" s="2">
        <f t="shared" si="61"/>
        <v>0</v>
      </c>
      <c r="I179" s="2"/>
      <c r="J179" s="36"/>
      <c r="K179" s="36"/>
      <c r="L179" s="36"/>
    </row>
    <row r="180" spans="1:12" ht="56.25" x14ac:dyDescent="0.25">
      <c r="A180" s="83" t="s">
        <v>24</v>
      </c>
      <c r="B180" s="85" t="s">
        <v>5</v>
      </c>
      <c r="C180" s="85">
        <v>225</v>
      </c>
      <c r="D180" s="2">
        <f t="shared" ref="D180" si="62">D181+D182</f>
        <v>0</v>
      </c>
      <c r="E180" s="2">
        <f>E181+E182</f>
        <v>0</v>
      </c>
      <c r="F180" s="2">
        <f t="shared" ref="F180:G180" si="63">F181+F182</f>
        <v>0</v>
      </c>
      <c r="G180" s="2">
        <f t="shared" si="63"/>
        <v>0</v>
      </c>
      <c r="H180" s="2">
        <f>H181+H182</f>
        <v>0</v>
      </c>
      <c r="I180" s="2">
        <f t="shared" ref="I180" si="64">I181+I182</f>
        <v>0</v>
      </c>
      <c r="J180" s="36"/>
      <c r="K180" s="36"/>
      <c r="L180" s="36"/>
    </row>
    <row r="181" spans="1:12" ht="18.75" x14ac:dyDescent="0.25">
      <c r="A181" s="216" t="s">
        <v>6</v>
      </c>
      <c r="B181" s="85">
        <v>243</v>
      </c>
      <c r="C181" s="85">
        <v>225</v>
      </c>
      <c r="D181" s="5">
        <f t="shared" ref="D181:D191" si="65">E181+F181</f>
        <v>0</v>
      </c>
      <c r="E181" s="2">
        <f>E52-E139</f>
        <v>0</v>
      </c>
      <c r="F181" s="2"/>
      <c r="G181" s="5">
        <f t="shared" ref="G181:G191" si="66">H181+I181</f>
        <v>0</v>
      </c>
      <c r="H181" s="2">
        <f>H52-H139</f>
        <v>0</v>
      </c>
      <c r="I181" s="2"/>
      <c r="J181" s="36"/>
      <c r="K181" s="36"/>
      <c r="L181" s="36"/>
    </row>
    <row r="182" spans="1:12" ht="18.75" x14ac:dyDescent="0.25">
      <c r="A182" s="216"/>
      <c r="B182" s="85">
        <v>244</v>
      </c>
      <c r="C182" s="85">
        <v>225</v>
      </c>
      <c r="D182" s="5">
        <f t="shared" si="65"/>
        <v>0</v>
      </c>
      <c r="E182" s="2">
        <f>E53-E140</f>
        <v>0</v>
      </c>
      <c r="F182" s="2"/>
      <c r="G182" s="5">
        <f t="shared" si="66"/>
        <v>0</v>
      </c>
      <c r="H182" s="2">
        <f>H53-H140</f>
        <v>0</v>
      </c>
      <c r="I182" s="2"/>
      <c r="J182" s="36"/>
      <c r="K182" s="36"/>
      <c r="L182" s="36"/>
    </row>
    <row r="183" spans="1:12" ht="37.5" x14ac:dyDescent="0.25">
      <c r="A183" s="83" t="s">
        <v>58</v>
      </c>
      <c r="B183" s="85" t="s">
        <v>5</v>
      </c>
      <c r="C183" s="85">
        <v>226</v>
      </c>
      <c r="D183" s="5">
        <f t="shared" si="65"/>
        <v>0</v>
      </c>
      <c r="E183" s="2">
        <f>E184+E185</f>
        <v>0</v>
      </c>
      <c r="F183" s="2">
        <f>F184+F185</f>
        <v>0</v>
      </c>
      <c r="G183" s="5">
        <f t="shared" si="66"/>
        <v>0</v>
      </c>
      <c r="H183" s="2">
        <f>H184+H185</f>
        <v>0</v>
      </c>
      <c r="I183" s="2">
        <f>I184+I185</f>
        <v>0</v>
      </c>
      <c r="J183" s="36"/>
      <c r="K183" s="36"/>
      <c r="L183" s="36"/>
    </row>
    <row r="184" spans="1:12" ht="18.75" x14ac:dyDescent="0.25">
      <c r="A184" s="216" t="s">
        <v>6</v>
      </c>
      <c r="B184" s="85">
        <v>243</v>
      </c>
      <c r="C184" s="85">
        <v>226</v>
      </c>
      <c r="D184" s="5">
        <f t="shared" si="65"/>
        <v>0</v>
      </c>
      <c r="E184" s="2">
        <f>E58-E142</f>
        <v>0</v>
      </c>
      <c r="F184" s="2"/>
      <c r="G184" s="5">
        <f t="shared" si="66"/>
        <v>0</v>
      </c>
      <c r="H184" s="2">
        <f>H58-H142</f>
        <v>0</v>
      </c>
      <c r="I184" s="2"/>
      <c r="J184" s="36"/>
      <c r="K184" s="36"/>
      <c r="L184" s="36"/>
    </row>
    <row r="185" spans="1:12" ht="18.75" x14ac:dyDescent="0.25">
      <c r="A185" s="216"/>
      <c r="B185" s="85">
        <v>244</v>
      </c>
      <c r="C185" s="85">
        <v>226</v>
      </c>
      <c r="D185" s="5">
        <f t="shared" si="65"/>
        <v>0</v>
      </c>
      <c r="E185" s="2">
        <f>E59-E143</f>
        <v>0</v>
      </c>
      <c r="F185" s="2"/>
      <c r="G185" s="5">
        <f t="shared" si="66"/>
        <v>0</v>
      </c>
      <c r="H185" s="2">
        <f>H59-H143</f>
        <v>0</v>
      </c>
      <c r="I185" s="2"/>
      <c r="J185" s="36"/>
      <c r="K185" s="36"/>
      <c r="L185" s="36"/>
    </row>
    <row r="186" spans="1:12" ht="18.75" x14ac:dyDescent="0.25">
      <c r="A186" s="83" t="s">
        <v>25</v>
      </c>
      <c r="B186" s="85">
        <v>244</v>
      </c>
      <c r="C186" s="85">
        <v>227</v>
      </c>
      <c r="D186" s="5">
        <f t="shared" si="65"/>
        <v>0</v>
      </c>
      <c r="E186" s="2">
        <f>E60-E144</f>
        <v>0</v>
      </c>
      <c r="F186" s="2"/>
      <c r="G186" s="5">
        <f t="shared" si="66"/>
        <v>0</v>
      </c>
      <c r="H186" s="2">
        <f>H60-H144</f>
        <v>0</v>
      </c>
      <c r="I186" s="2"/>
      <c r="J186" s="36"/>
      <c r="K186" s="36"/>
      <c r="L186" s="36"/>
    </row>
    <row r="187" spans="1:12" ht="18.75" x14ac:dyDescent="0.25">
      <c r="A187" s="83" t="s">
        <v>30</v>
      </c>
      <c r="B187" s="85" t="s">
        <v>5</v>
      </c>
      <c r="C187" s="85">
        <v>290</v>
      </c>
      <c r="D187" s="5">
        <f t="shared" si="65"/>
        <v>0</v>
      </c>
      <c r="E187" s="2">
        <f>E189+E190</f>
        <v>0</v>
      </c>
      <c r="F187" s="2">
        <f>F189+F190</f>
        <v>0</v>
      </c>
      <c r="G187" s="5">
        <f t="shared" si="66"/>
        <v>0</v>
      </c>
      <c r="H187" s="2">
        <f>H189+H190</f>
        <v>0</v>
      </c>
      <c r="I187" s="2">
        <f>I189+I190</f>
        <v>0</v>
      </c>
      <c r="J187" s="36"/>
      <c r="K187" s="36"/>
      <c r="L187" s="36"/>
    </row>
    <row r="188" spans="1:12" ht="18.75" x14ac:dyDescent="0.25">
      <c r="A188" s="83" t="s">
        <v>9</v>
      </c>
      <c r="B188" s="85"/>
      <c r="C188" s="85"/>
      <c r="D188" s="5">
        <f t="shared" si="65"/>
        <v>0</v>
      </c>
      <c r="E188" s="2"/>
      <c r="F188" s="2"/>
      <c r="G188" s="5">
        <f t="shared" si="66"/>
        <v>0</v>
      </c>
      <c r="H188" s="2"/>
      <c r="I188" s="2"/>
      <c r="J188" s="36"/>
      <c r="K188" s="36"/>
      <c r="L188" s="36"/>
    </row>
    <row r="189" spans="1:12" ht="56.25" x14ac:dyDescent="0.25">
      <c r="A189" s="83" t="s">
        <v>34</v>
      </c>
      <c r="B189" s="85">
        <v>244</v>
      </c>
      <c r="C189" s="85">
        <v>296</v>
      </c>
      <c r="D189" s="5">
        <f t="shared" si="65"/>
        <v>0</v>
      </c>
      <c r="E189" s="2">
        <f>E77-E147</f>
        <v>0</v>
      </c>
      <c r="F189" s="2"/>
      <c r="G189" s="5">
        <f t="shared" si="66"/>
        <v>0</v>
      </c>
      <c r="H189" s="2">
        <f>H77-H147</f>
        <v>0</v>
      </c>
      <c r="I189" s="2"/>
      <c r="J189" s="36"/>
      <c r="K189" s="36"/>
      <c r="L189" s="36"/>
    </row>
    <row r="190" spans="1:12" ht="56.25" x14ac:dyDescent="0.25">
      <c r="A190" s="83" t="s">
        <v>35</v>
      </c>
      <c r="B190" s="85">
        <v>244</v>
      </c>
      <c r="C190" s="85">
        <v>297</v>
      </c>
      <c r="D190" s="5">
        <f t="shared" si="65"/>
        <v>0</v>
      </c>
      <c r="E190" s="2">
        <f>E84-E148</f>
        <v>0</v>
      </c>
      <c r="F190" s="2"/>
      <c r="G190" s="5">
        <f t="shared" si="66"/>
        <v>0</v>
      </c>
      <c r="H190" s="2">
        <f>H84-H148</f>
        <v>0</v>
      </c>
      <c r="I190" s="2"/>
      <c r="J190" s="36"/>
      <c r="K190" s="36"/>
      <c r="L190" s="36"/>
    </row>
    <row r="191" spans="1:12" ht="56.25" x14ac:dyDescent="0.25">
      <c r="A191" s="83" t="s">
        <v>59</v>
      </c>
      <c r="B191" s="85" t="s">
        <v>5</v>
      </c>
      <c r="C191" s="85">
        <v>300</v>
      </c>
      <c r="D191" s="5">
        <f t="shared" si="65"/>
        <v>0</v>
      </c>
      <c r="E191" s="2">
        <f>E193+E195+E194</f>
        <v>0</v>
      </c>
      <c r="F191" s="2">
        <f>F193+F195+F194</f>
        <v>0</v>
      </c>
      <c r="G191" s="5">
        <f t="shared" si="66"/>
        <v>0</v>
      </c>
      <c r="H191" s="2">
        <f>H193+H195+H194</f>
        <v>0</v>
      </c>
      <c r="I191" s="2">
        <f>I193+I195+I194</f>
        <v>0</v>
      </c>
      <c r="J191" s="36"/>
      <c r="K191" s="36"/>
      <c r="L191" s="36"/>
    </row>
    <row r="192" spans="1:12" ht="18.75" x14ac:dyDescent="0.25">
      <c r="A192" s="83" t="s">
        <v>9</v>
      </c>
      <c r="B192" s="85"/>
      <c r="C192" s="85"/>
      <c r="D192" s="5"/>
      <c r="E192" s="2"/>
      <c r="F192" s="2"/>
      <c r="G192" s="5"/>
      <c r="H192" s="2"/>
      <c r="I192" s="2"/>
      <c r="J192" s="36"/>
      <c r="K192" s="36"/>
      <c r="L192" s="36"/>
    </row>
    <row r="193" spans="1:12" ht="56.25" x14ac:dyDescent="0.25">
      <c r="A193" s="83" t="s">
        <v>36</v>
      </c>
      <c r="B193" s="85">
        <v>244</v>
      </c>
      <c r="C193" s="85">
        <v>310</v>
      </c>
      <c r="D193" s="5">
        <f t="shared" ref="D193:D195" si="67">E193+F193</f>
        <v>0</v>
      </c>
      <c r="E193" s="2">
        <f>E88-E151</f>
        <v>0</v>
      </c>
      <c r="F193" s="2"/>
      <c r="G193" s="5">
        <f t="shared" ref="G193:G195" si="68">H193+I193</f>
        <v>0</v>
      </c>
      <c r="H193" s="2">
        <f>H88-H151</f>
        <v>0</v>
      </c>
      <c r="I193" s="2"/>
      <c r="J193" s="36"/>
      <c r="K193" s="36"/>
      <c r="L193" s="36"/>
    </row>
    <row r="194" spans="1:12" ht="75" x14ac:dyDescent="0.25">
      <c r="A194" s="83" t="s">
        <v>68</v>
      </c>
      <c r="B194" s="85">
        <v>244</v>
      </c>
      <c r="C194" s="85">
        <v>320</v>
      </c>
      <c r="D194" s="5">
        <f t="shared" si="67"/>
        <v>0</v>
      </c>
      <c r="E194" s="2">
        <f>E89-E152</f>
        <v>0</v>
      </c>
      <c r="F194" s="2"/>
      <c r="G194" s="5">
        <f t="shared" si="68"/>
        <v>0</v>
      </c>
      <c r="H194" s="2">
        <f>H89-H152</f>
        <v>0</v>
      </c>
      <c r="I194" s="2"/>
      <c r="J194" s="36"/>
      <c r="K194" s="36"/>
      <c r="L194" s="36"/>
    </row>
    <row r="195" spans="1:12" ht="75" x14ac:dyDescent="0.25">
      <c r="A195" s="83" t="s">
        <v>60</v>
      </c>
      <c r="B195" s="85" t="s">
        <v>5</v>
      </c>
      <c r="C195" s="85">
        <v>340</v>
      </c>
      <c r="D195" s="5">
        <f t="shared" si="67"/>
        <v>0</v>
      </c>
      <c r="E195" s="2">
        <f>E197+E198+E199+E200+E201+E202+E203</f>
        <v>0</v>
      </c>
      <c r="F195" s="2">
        <f>F197+F198+F199+F200+F201+F202+F203</f>
        <v>0</v>
      </c>
      <c r="G195" s="5">
        <f t="shared" si="68"/>
        <v>0</v>
      </c>
      <c r="H195" s="2">
        <f>H197+H198+H199+H200+H201+H202+H203</f>
        <v>0</v>
      </c>
      <c r="I195" s="2">
        <f>I197+I198+I199+I200+I201+I202+I203</f>
        <v>0</v>
      </c>
      <c r="J195" s="36"/>
      <c r="K195" s="36"/>
      <c r="L195" s="36"/>
    </row>
    <row r="196" spans="1:12" ht="18.75" x14ac:dyDescent="0.25">
      <c r="A196" s="83" t="s">
        <v>6</v>
      </c>
      <c r="B196" s="85"/>
      <c r="C196" s="85"/>
      <c r="D196" s="5"/>
      <c r="E196" s="2"/>
      <c r="F196" s="2"/>
      <c r="G196" s="5"/>
      <c r="H196" s="2"/>
      <c r="I196" s="2"/>
      <c r="J196" s="36"/>
      <c r="K196" s="36"/>
      <c r="L196" s="36"/>
    </row>
    <row r="197" spans="1:12" ht="131.25" x14ac:dyDescent="0.25">
      <c r="A197" s="83" t="s">
        <v>37</v>
      </c>
      <c r="B197" s="85">
        <v>244</v>
      </c>
      <c r="C197" s="85">
        <v>341</v>
      </c>
      <c r="D197" s="5">
        <f t="shared" ref="D197:D203" si="69">E197+F197</f>
        <v>0</v>
      </c>
      <c r="E197" s="2">
        <f>E92-E155</f>
        <v>0</v>
      </c>
      <c r="F197" s="2"/>
      <c r="G197" s="5">
        <f t="shared" ref="G197:G203" si="70">H197+I197</f>
        <v>0</v>
      </c>
      <c r="H197" s="2">
        <f>H92-H155</f>
        <v>0</v>
      </c>
      <c r="I197" s="2"/>
      <c r="J197" s="36"/>
      <c r="K197" s="36"/>
      <c r="L197" s="36"/>
    </row>
    <row r="198" spans="1:12" ht="56.25" x14ac:dyDescent="0.25">
      <c r="A198" s="83" t="s">
        <v>38</v>
      </c>
      <c r="B198" s="85">
        <v>244</v>
      </c>
      <c r="C198" s="85">
        <v>342</v>
      </c>
      <c r="D198" s="5">
        <f t="shared" si="69"/>
        <v>0</v>
      </c>
      <c r="E198" s="2">
        <f t="shared" ref="E198:E203" si="71">E93-E156</f>
        <v>0</v>
      </c>
      <c r="F198" s="2"/>
      <c r="G198" s="5">
        <f t="shared" si="70"/>
        <v>0</v>
      </c>
      <c r="H198" s="2">
        <f t="shared" ref="H198:H203" si="72">H93-H156</f>
        <v>0</v>
      </c>
      <c r="I198" s="2"/>
      <c r="J198" s="36"/>
      <c r="K198" s="36"/>
      <c r="L198" s="36"/>
    </row>
    <row r="199" spans="1:12" ht="75" x14ac:dyDescent="0.25">
      <c r="A199" s="83" t="s">
        <v>39</v>
      </c>
      <c r="B199" s="85">
        <v>244</v>
      </c>
      <c r="C199" s="85">
        <v>343</v>
      </c>
      <c r="D199" s="5">
        <f t="shared" si="69"/>
        <v>0</v>
      </c>
      <c r="E199" s="2">
        <f t="shared" si="71"/>
        <v>0</v>
      </c>
      <c r="F199" s="2"/>
      <c r="G199" s="5">
        <f t="shared" si="70"/>
        <v>0</v>
      </c>
      <c r="H199" s="2">
        <f t="shared" si="72"/>
        <v>0</v>
      </c>
      <c r="I199" s="2"/>
      <c r="J199" s="36"/>
      <c r="K199" s="36"/>
      <c r="L199" s="36"/>
    </row>
    <row r="200" spans="1:12" ht="75" x14ac:dyDescent="0.25">
      <c r="A200" s="83" t="s">
        <v>40</v>
      </c>
      <c r="B200" s="85">
        <v>244</v>
      </c>
      <c r="C200" s="85">
        <v>344</v>
      </c>
      <c r="D200" s="5">
        <f t="shared" si="69"/>
        <v>0</v>
      </c>
      <c r="E200" s="2">
        <f t="shared" si="71"/>
        <v>0</v>
      </c>
      <c r="F200" s="2"/>
      <c r="G200" s="5">
        <f t="shared" si="70"/>
        <v>0</v>
      </c>
      <c r="H200" s="2">
        <f t="shared" si="72"/>
        <v>0</v>
      </c>
      <c r="I200" s="2"/>
      <c r="J200" s="36"/>
      <c r="K200" s="36"/>
      <c r="L200" s="36"/>
    </row>
    <row r="201" spans="1:12" ht="56.25" x14ac:dyDescent="0.25">
      <c r="A201" s="83" t="s">
        <v>41</v>
      </c>
      <c r="B201" s="85">
        <v>244</v>
      </c>
      <c r="C201" s="85">
        <v>345</v>
      </c>
      <c r="D201" s="5">
        <f t="shared" si="69"/>
        <v>0</v>
      </c>
      <c r="E201" s="2">
        <f t="shared" si="71"/>
        <v>0</v>
      </c>
      <c r="F201" s="2"/>
      <c r="G201" s="5">
        <f t="shared" si="70"/>
        <v>0</v>
      </c>
      <c r="H201" s="2">
        <f t="shared" si="72"/>
        <v>0</v>
      </c>
      <c r="I201" s="2"/>
      <c r="J201" s="36"/>
      <c r="K201" s="36"/>
      <c r="L201" s="36"/>
    </row>
    <row r="202" spans="1:12" ht="75" x14ac:dyDescent="0.25">
      <c r="A202" s="83" t="s">
        <v>42</v>
      </c>
      <c r="B202" s="85">
        <v>244</v>
      </c>
      <c r="C202" s="85">
        <v>346</v>
      </c>
      <c r="D202" s="5">
        <f t="shared" si="69"/>
        <v>0</v>
      </c>
      <c r="E202" s="2">
        <f t="shared" si="71"/>
        <v>0</v>
      </c>
      <c r="F202" s="2"/>
      <c r="G202" s="5">
        <f t="shared" si="70"/>
        <v>0</v>
      </c>
      <c r="H202" s="2">
        <f t="shared" si="72"/>
        <v>0</v>
      </c>
      <c r="I202" s="2"/>
      <c r="J202" s="36"/>
      <c r="K202" s="36"/>
      <c r="L202" s="36"/>
    </row>
    <row r="203" spans="1:12" ht="112.5" x14ac:dyDescent="0.25">
      <c r="A203" s="83" t="s">
        <v>43</v>
      </c>
      <c r="B203" s="85">
        <v>244</v>
      </c>
      <c r="C203" s="85">
        <v>349</v>
      </c>
      <c r="D203" s="5">
        <f t="shared" si="69"/>
        <v>0</v>
      </c>
      <c r="E203" s="2">
        <f t="shared" si="71"/>
        <v>0</v>
      </c>
      <c r="F203" s="2"/>
      <c r="G203" s="5">
        <f t="shared" si="70"/>
        <v>0</v>
      </c>
      <c r="H203" s="2">
        <f t="shared" si="72"/>
        <v>0</v>
      </c>
      <c r="I203" s="2"/>
      <c r="J203" s="36"/>
      <c r="K203" s="36"/>
      <c r="L203" s="36"/>
    </row>
  </sheetData>
  <mergeCells count="39">
    <mergeCell ref="K116:M116"/>
    <mergeCell ref="N116:P116"/>
    <mergeCell ref="A120:I120"/>
    <mergeCell ref="A162:I162"/>
    <mergeCell ref="A142:A143"/>
    <mergeCell ref="A181:A182"/>
    <mergeCell ref="A184:A185"/>
    <mergeCell ref="G5:G6"/>
    <mergeCell ref="H5:I5"/>
    <mergeCell ref="A116:I116"/>
    <mergeCell ref="B113:C113"/>
    <mergeCell ref="E113:F113"/>
    <mergeCell ref="A115:B115"/>
    <mergeCell ref="A139:A140"/>
    <mergeCell ref="B109:C109"/>
    <mergeCell ref="E109:F109"/>
    <mergeCell ref="B110:C110"/>
    <mergeCell ref="E110:F110"/>
    <mergeCell ref="B112:C112"/>
    <mergeCell ref="E112:F112"/>
    <mergeCell ref="A77:A82"/>
    <mergeCell ref="A84:A85"/>
    <mergeCell ref="B106:C106"/>
    <mergeCell ref="E106:F106"/>
    <mergeCell ref="B107:C107"/>
    <mergeCell ref="E107:F107"/>
    <mergeCell ref="E5:F5"/>
    <mergeCell ref="A1:I1"/>
    <mergeCell ref="A2:I2"/>
    <mergeCell ref="A70:A72"/>
    <mergeCell ref="A5:A6"/>
    <mergeCell ref="B5:B6"/>
    <mergeCell ref="C5:C6"/>
    <mergeCell ref="D5:D6"/>
    <mergeCell ref="A35:A36"/>
    <mergeCell ref="A41:A42"/>
    <mergeCell ref="A52:A53"/>
    <mergeCell ref="A55:A59"/>
    <mergeCell ref="A64:A65"/>
  </mergeCells>
  <pageMargins left="1.3779527559055118" right="0.39370078740157483" top="0.98425196850393704" bottom="0.78740157480314965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5"/>
  <sheetViews>
    <sheetView topLeftCell="A92" zoomScaleNormal="100" workbookViewId="0">
      <selection activeCell="I95" sqref="A5:I9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2" t="s">
        <v>269</v>
      </c>
      <c r="B1" s="232"/>
      <c r="C1" s="232"/>
      <c r="D1" s="232"/>
      <c r="E1" s="232"/>
      <c r="F1" s="232"/>
      <c r="G1" s="232"/>
      <c r="H1" s="232"/>
      <c r="I1" s="232"/>
    </row>
    <row r="2" spans="1:9" ht="18.75" x14ac:dyDescent="0.25">
      <c r="A2" s="232" t="s">
        <v>75</v>
      </c>
      <c r="B2" s="232"/>
      <c r="C2" s="232"/>
      <c r="D2" s="232"/>
      <c r="E2" s="232"/>
      <c r="F2" s="232"/>
      <c r="G2" s="232"/>
      <c r="H2" s="232"/>
      <c r="I2" s="232"/>
    </row>
    <row r="3" spans="1:9" x14ac:dyDescent="0.25">
      <c r="A3" s="30"/>
    </row>
    <row r="4" spans="1:9" ht="19.5" thickBot="1" x14ac:dyDescent="0.3">
      <c r="A4" s="6"/>
      <c r="F4" s="6"/>
      <c r="G4" s="6"/>
      <c r="I4" s="6" t="s">
        <v>51</v>
      </c>
    </row>
    <row r="5" spans="1:9" ht="30.6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73</v>
      </c>
      <c r="F5" s="226"/>
      <c r="G5" s="226" t="s">
        <v>1</v>
      </c>
      <c r="H5" s="226" t="s">
        <v>73</v>
      </c>
      <c r="I5" s="236"/>
    </row>
    <row r="6" spans="1:9" ht="15.75" x14ac:dyDescent="0.25">
      <c r="A6" s="323"/>
      <c r="B6" s="324"/>
      <c r="C6" s="325"/>
      <c r="D6" s="324"/>
      <c r="E6" s="324" t="s">
        <v>6</v>
      </c>
      <c r="F6" s="324"/>
      <c r="G6" s="324"/>
      <c r="H6" s="324" t="s">
        <v>6</v>
      </c>
      <c r="I6" s="326"/>
    </row>
    <row r="7" spans="1:9" ht="212.45" customHeight="1" thickBot="1" x14ac:dyDescent="0.3">
      <c r="A7" s="225"/>
      <c r="B7" s="227"/>
      <c r="C7" s="229"/>
      <c r="D7" s="227"/>
      <c r="E7" s="117" t="s">
        <v>198</v>
      </c>
      <c r="F7" s="117" t="s">
        <v>199</v>
      </c>
      <c r="G7" s="227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18.75" x14ac:dyDescent="0.25">
      <c r="A9" s="95" t="s">
        <v>184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</f>
        <v>0</v>
      </c>
      <c r="F10" s="2">
        <f>F13+F41</f>
        <v>0</v>
      </c>
      <c r="G10" s="5">
        <f t="shared" si="1"/>
        <v>0</v>
      </c>
      <c r="H10" s="2">
        <f>H13+H41</f>
        <v>0</v>
      </c>
      <c r="I10" s="4">
        <f>I13+I41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0" t="s">
        <v>200</v>
      </c>
      <c r="B12" s="321"/>
      <c r="C12" s="321"/>
      <c r="D12" s="321"/>
      <c r="E12" s="321"/>
      <c r="F12" s="321"/>
      <c r="G12" s="321"/>
      <c r="H12" s="321"/>
      <c r="I12" s="322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/>
      <c r="F17" s="2"/>
      <c r="G17" s="5">
        <f>H17+I17</f>
        <v>0</v>
      </c>
      <c r="H17" s="2"/>
      <c r="I17" s="4"/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/>
      <c r="F20" s="2"/>
      <c r="G20" s="5">
        <f t="shared" ref="G20:G22" si="6">H20+I20</f>
        <v>0</v>
      </c>
      <c r="H20" s="2"/>
      <c r="I20" s="4"/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/>
      <c r="F21" s="2"/>
      <c r="G21" s="5">
        <f t="shared" si="6"/>
        <v>0</v>
      </c>
      <c r="H21" s="2"/>
      <c r="I21" s="4"/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244</v>
      </c>
      <c r="C24" s="119">
        <v>223</v>
      </c>
      <c r="D24" s="5">
        <f t="shared" si="2"/>
        <v>0</v>
      </c>
      <c r="E24" s="2"/>
      <c r="F24" s="2"/>
      <c r="G24" s="5">
        <f t="shared" ref="G24:G29" si="9">H24+I24</f>
        <v>0</v>
      </c>
      <c r="H24" s="2"/>
      <c r="I24" s="4"/>
    </row>
    <row r="25" spans="1:9" ht="37.5" x14ac:dyDescent="0.25">
      <c r="A25" s="115" t="s">
        <v>19</v>
      </c>
      <c r="B25" s="119">
        <v>244</v>
      </c>
      <c r="C25" s="119">
        <v>223</v>
      </c>
      <c r="D25" s="5">
        <f t="shared" si="2"/>
        <v>0</v>
      </c>
      <c r="E25" s="2"/>
      <c r="F25" s="2"/>
      <c r="G25" s="5">
        <f t="shared" si="9"/>
        <v>0</v>
      </c>
      <c r="H25" s="2"/>
      <c r="I25" s="4"/>
    </row>
    <row r="26" spans="1:9" ht="65.45" customHeight="1" x14ac:dyDescent="0.25">
      <c r="A26" s="115" t="s">
        <v>20</v>
      </c>
      <c r="B26" s="119">
        <v>244</v>
      </c>
      <c r="C26" s="119">
        <v>223</v>
      </c>
      <c r="D26" s="5">
        <f t="shared" si="2"/>
        <v>0</v>
      </c>
      <c r="E26" s="2"/>
      <c r="F26" s="2"/>
      <c r="G26" s="5">
        <f t="shared" si="9"/>
        <v>0</v>
      </c>
      <c r="H26" s="2"/>
      <c r="I26" s="4"/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/>
      <c r="F27" s="2"/>
      <c r="G27" s="5">
        <f t="shared" si="9"/>
        <v>0</v>
      </c>
      <c r="H27" s="2"/>
      <c r="I27" s="4"/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/>
      <c r="F28" s="2"/>
      <c r="G28" s="5">
        <f t="shared" si="9"/>
        <v>0</v>
      </c>
      <c r="H28" s="2"/>
      <c r="I28" s="4"/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/>
      <c r="F29" s="2"/>
      <c r="G29" s="5">
        <f t="shared" si="9"/>
        <v>0</v>
      </c>
      <c r="H29" s="2"/>
      <c r="I29" s="4"/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16" t="s">
        <v>6</v>
      </c>
      <c r="B31" s="119">
        <v>243</v>
      </c>
      <c r="C31" s="119">
        <v>225</v>
      </c>
      <c r="D31" s="5">
        <f t="shared" si="2"/>
        <v>0</v>
      </c>
      <c r="E31" s="2"/>
      <c r="F31" s="2"/>
      <c r="G31" s="5">
        <f t="shared" ref="G31:G41" si="12">H31+I31</f>
        <v>0</v>
      </c>
      <c r="H31" s="2"/>
      <c r="I31" s="4"/>
    </row>
    <row r="32" spans="1:9" ht="18.75" x14ac:dyDescent="0.25">
      <c r="A32" s="216"/>
      <c r="B32" s="119">
        <v>244</v>
      </c>
      <c r="C32" s="119">
        <v>225</v>
      </c>
      <c r="D32" s="5">
        <f t="shared" si="2"/>
        <v>0</v>
      </c>
      <c r="E32" s="2"/>
      <c r="F32" s="2"/>
      <c r="G32" s="5">
        <f t="shared" si="12"/>
        <v>0</v>
      </c>
      <c r="H32" s="2"/>
      <c r="I32" s="4"/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16" t="s">
        <v>6</v>
      </c>
      <c r="B34" s="119">
        <v>243</v>
      </c>
      <c r="C34" s="119">
        <v>226</v>
      </c>
      <c r="D34" s="5">
        <f t="shared" si="2"/>
        <v>0</v>
      </c>
      <c r="E34" s="2"/>
      <c r="F34" s="2"/>
      <c r="G34" s="5">
        <f t="shared" si="12"/>
        <v>0</v>
      </c>
      <c r="H34" s="2"/>
      <c r="I34" s="4"/>
    </row>
    <row r="35" spans="1:9" ht="18.75" x14ac:dyDescent="0.25">
      <c r="A35" s="216"/>
      <c r="B35" s="119">
        <v>244</v>
      </c>
      <c r="C35" s="119">
        <v>226</v>
      </c>
      <c r="D35" s="5">
        <f t="shared" si="2"/>
        <v>0</v>
      </c>
      <c r="E35" s="2"/>
      <c r="F35" s="2"/>
      <c r="G35" s="5">
        <f t="shared" si="12"/>
        <v>0</v>
      </c>
      <c r="H35" s="2"/>
      <c r="I35" s="4"/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/>
      <c r="F36" s="2"/>
      <c r="G36" s="5">
        <f t="shared" si="12"/>
        <v>0</v>
      </c>
      <c r="H36" s="2"/>
      <c r="I36" s="4"/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/>
      <c r="F39" s="2"/>
      <c r="G39" s="5">
        <f t="shared" si="12"/>
        <v>0</v>
      </c>
      <c r="H39" s="2"/>
      <c r="I39" s="4"/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/>
      <c r="F40" s="2"/>
      <c r="G40" s="5">
        <f t="shared" si="12"/>
        <v>0</v>
      </c>
      <c r="H40" s="2"/>
      <c r="I40" s="4"/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/>
      <c r="F43" s="2"/>
      <c r="G43" s="5">
        <f t="shared" ref="G43:G45" si="13">H43+I43</f>
        <v>0</v>
      </c>
      <c r="H43" s="2"/>
      <c r="I43" s="4"/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/>
      <c r="F44" s="2"/>
      <c r="G44" s="5">
        <f t="shared" si="13"/>
        <v>0</v>
      </c>
      <c r="H44" s="2"/>
      <c r="I44" s="4"/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/>
      <c r="F47" s="2"/>
      <c r="G47" s="5">
        <f t="shared" ref="G47:G53" si="15">H47+I47</f>
        <v>0</v>
      </c>
      <c r="H47" s="2"/>
      <c r="I47" s="4"/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/>
      <c r="F48" s="2"/>
      <c r="G48" s="5">
        <f t="shared" si="15"/>
        <v>0</v>
      </c>
      <c r="H48" s="2"/>
      <c r="I48" s="4"/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/>
      <c r="F49" s="2"/>
      <c r="G49" s="5">
        <f t="shared" si="15"/>
        <v>0</v>
      </c>
      <c r="H49" s="2"/>
      <c r="I49" s="4"/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/>
      <c r="F50" s="2"/>
      <c r="G50" s="5">
        <f t="shared" si="15"/>
        <v>0</v>
      </c>
      <c r="H50" s="2"/>
      <c r="I50" s="4"/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/>
      <c r="F51" s="2"/>
      <c r="G51" s="5">
        <f t="shared" si="15"/>
        <v>0</v>
      </c>
      <c r="H51" s="2"/>
      <c r="I51" s="4"/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/>
      <c r="F52" s="2"/>
      <c r="G52" s="5">
        <f t="shared" si="15"/>
        <v>0</v>
      </c>
      <c r="H52" s="2"/>
      <c r="I52" s="4"/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/>
      <c r="F53" s="2"/>
      <c r="G53" s="5">
        <f t="shared" si="15"/>
        <v>0</v>
      </c>
      <c r="H53" s="2"/>
      <c r="I53" s="4"/>
    </row>
    <row r="54" spans="1:9" ht="32.450000000000003" customHeight="1" x14ac:dyDescent="0.25">
      <c r="A54" s="320" t="s">
        <v>202</v>
      </c>
      <c r="B54" s="321"/>
      <c r="C54" s="321"/>
      <c r="D54" s="321"/>
      <c r="E54" s="321"/>
      <c r="F54" s="321"/>
      <c r="G54" s="321"/>
      <c r="H54" s="321"/>
      <c r="I54" s="322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/>
      <c r="F59" s="2"/>
      <c r="G59" s="5">
        <f>H59+I59</f>
        <v>0</v>
      </c>
      <c r="H59" s="2"/>
      <c r="I59" s="4"/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/>
      <c r="F62" s="2"/>
      <c r="G62" s="5">
        <f t="shared" ref="G62:G64" si="23">H62+I62</f>
        <v>0</v>
      </c>
      <c r="H62" s="2"/>
      <c r="I62" s="4"/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/>
      <c r="F63" s="2"/>
      <c r="G63" s="5">
        <f t="shared" si="23"/>
        <v>0</v>
      </c>
      <c r="H63" s="2"/>
      <c r="I63" s="4"/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244</v>
      </c>
      <c r="C66" s="119">
        <v>223</v>
      </c>
      <c r="D66" s="5">
        <f t="shared" ref="D66:D71" si="26">E66+F66</f>
        <v>0</v>
      </c>
      <c r="E66" s="2"/>
      <c r="F66" s="2"/>
      <c r="G66" s="5">
        <f t="shared" ref="G66:G71" si="27">H66+I66</f>
        <v>0</v>
      </c>
      <c r="H66" s="2"/>
      <c r="I66" s="4"/>
    </row>
    <row r="67" spans="1:9" ht="37.5" x14ac:dyDescent="0.25">
      <c r="A67" s="115" t="s">
        <v>19</v>
      </c>
      <c r="B67" s="119">
        <v>244</v>
      </c>
      <c r="C67" s="119">
        <v>223</v>
      </c>
      <c r="D67" s="5">
        <f t="shared" si="26"/>
        <v>0</v>
      </c>
      <c r="E67" s="2"/>
      <c r="F67" s="2"/>
      <c r="G67" s="5">
        <f t="shared" si="27"/>
        <v>0</v>
      </c>
      <c r="H67" s="2"/>
      <c r="I67" s="4"/>
    </row>
    <row r="68" spans="1:9" ht="75" x14ac:dyDescent="0.25">
      <c r="A68" s="115" t="s">
        <v>20</v>
      </c>
      <c r="B68" s="119">
        <v>244</v>
      </c>
      <c r="C68" s="119">
        <v>223</v>
      </c>
      <c r="D68" s="5">
        <f t="shared" si="26"/>
        <v>0</v>
      </c>
      <c r="E68" s="2"/>
      <c r="F68" s="2"/>
      <c r="G68" s="5">
        <f t="shared" si="27"/>
        <v>0</v>
      </c>
      <c r="H68" s="2"/>
      <c r="I68" s="4"/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/>
      <c r="F69" s="2"/>
      <c r="G69" s="5">
        <f t="shared" si="27"/>
        <v>0</v>
      </c>
      <c r="H69" s="2"/>
      <c r="I69" s="4"/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/>
      <c r="F70" s="2"/>
      <c r="G70" s="5">
        <f t="shared" si="27"/>
        <v>0</v>
      </c>
      <c r="H70" s="2"/>
      <c r="I70" s="4"/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/>
      <c r="F71" s="2"/>
      <c r="G71" s="5">
        <f t="shared" si="27"/>
        <v>0</v>
      </c>
      <c r="H71" s="2"/>
      <c r="I71" s="4"/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16" t="s">
        <v>6</v>
      </c>
      <c r="B73" s="119">
        <v>243</v>
      </c>
      <c r="C73" s="119">
        <v>225</v>
      </c>
      <c r="D73" s="5">
        <f t="shared" ref="D73:D83" si="31">E73+F73</f>
        <v>0</v>
      </c>
      <c r="E73" s="2"/>
      <c r="F73" s="2"/>
      <c r="G73" s="5">
        <f t="shared" ref="G73:G83" si="32">H73+I73</f>
        <v>0</v>
      </c>
      <c r="H73" s="2"/>
      <c r="I73" s="4"/>
    </row>
    <row r="74" spans="1:9" ht="18.75" x14ac:dyDescent="0.25">
      <c r="A74" s="216"/>
      <c r="B74" s="119">
        <v>244</v>
      </c>
      <c r="C74" s="119">
        <v>225</v>
      </c>
      <c r="D74" s="5">
        <f t="shared" si="31"/>
        <v>0</v>
      </c>
      <c r="E74" s="2"/>
      <c r="F74" s="2"/>
      <c r="G74" s="5">
        <f t="shared" si="32"/>
        <v>0</v>
      </c>
      <c r="H74" s="2"/>
      <c r="I74" s="4"/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16" t="s">
        <v>6</v>
      </c>
      <c r="B76" s="119">
        <v>243</v>
      </c>
      <c r="C76" s="119">
        <v>226</v>
      </c>
      <c r="D76" s="5">
        <f t="shared" si="31"/>
        <v>0</v>
      </c>
      <c r="E76" s="2"/>
      <c r="F76" s="2"/>
      <c r="G76" s="5">
        <f t="shared" si="32"/>
        <v>0</v>
      </c>
      <c r="H76" s="2"/>
      <c r="I76" s="4"/>
    </row>
    <row r="77" spans="1:9" ht="18.75" x14ac:dyDescent="0.25">
      <c r="A77" s="216"/>
      <c r="B77" s="119">
        <v>244</v>
      </c>
      <c r="C77" s="119">
        <v>226</v>
      </c>
      <c r="D77" s="5">
        <f t="shared" si="31"/>
        <v>0</v>
      </c>
      <c r="E77" s="2"/>
      <c r="F77" s="2"/>
      <c r="G77" s="5">
        <f t="shared" si="32"/>
        <v>0</v>
      </c>
      <c r="H77" s="2"/>
      <c r="I77" s="4"/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/>
      <c r="F78" s="2"/>
      <c r="G78" s="5">
        <f t="shared" si="32"/>
        <v>0</v>
      </c>
      <c r="H78" s="2"/>
      <c r="I78" s="4"/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/>
      <c r="F81" s="2"/>
      <c r="G81" s="5">
        <f t="shared" si="32"/>
        <v>0</v>
      </c>
      <c r="H81" s="2"/>
      <c r="I81" s="4"/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/>
      <c r="F82" s="2"/>
      <c r="G82" s="5">
        <f t="shared" si="32"/>
        <v>0</v>
      </c>
      <c r="H82" s="2"/>
      <c r="I82" s="4"/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56.25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/>
      <c r="F85" s="2"/>
      <c r="G85" s="5">
        <f t="shared" ref="G85:G87" si="34">H85+I85</f>
        <v>0</v>
      </c>
      <c r="H85" s="2"/>
      <c r="I85" s="4"/>
    </row>
    <row r="86" spans="1:9" ht="75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/>
      <c r="F86" s="2"/>
      <c r="G86" s="5">
        <f t="shared" si="34"/>
        <v>0</v>
      </c>
      <c r="H86" s="2"/>
      <c r="I86" s="4"/>
    </row>
    <row r="87" spans="1:9" ht="75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31.25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/>
      <c r="F89" s="2"/>
      <c r="G89" s="5">
        <f t="shared" ref="G89:G95" si="36">H89+I89</f>
        <v>0</v>
      </c>
      <c r="H89" s="2"/>
      <c r="I89" s="4"/>
    </row>
    <row r="90" spans="1:9" ht="56.25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/>
      <c r="F90" s="2"/>
      <c r="G90" s="5">
        <f t="shared" si="36"/>
        <v>0</v>
      </c>
      <c r="H90" s="2"/>
      <c r="I90" s="4"/>
    </row>
    <row r="91" spans="1:9" ht="75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/>
      <c r="F91" s="2"/>
      <c r="G91" s="5">
        <f t="shared" si="36"/>
        <v>0</v>
      </c>
      <c r="H91" s="2"/>
      <c r="I91" s="4"/>
    </row>
    <row r="92" spans="1:9" ht="75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/>
      <c r="F92" s="2"/>
      <c r="G92" s="5">
        <f t="shared" si="36"/>
        <v>0</v>
      </c>
      <c r="H92" s="2"/>
      <c r="I92" s="4"/>
    </row>
    <row r="93" spans="1:9" ht="56.25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/>
      <c r="F93" s="2"/>
      <c r="G93" s="5">
        <f t="shared" si="36"/>
        <v>0</v>
      </c>
      <c r="H93" s="2"/>
      <c r="I93" s="4"/>
    </row>
    <row r="94" spans="1:9" ht="75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/>
      <c r="F94" s="2"/>
      <c r="G94" s="5">
        <f t="shared" si="36"/>
        <v>0</v>
      </c>
      <c r="H94" s="2"/>
      <c r="I94" s="4"/>
    </row>
    <row r="95" spans="1:9" ht="113.25" thickBot="1" x14ac:dyDescent="0.3">
      <c r="A95" s="32" t="s">
        <v>43</v>
      </c>
      <c r="B95" s="33">
        <v>244</v>
      </c>
      <c r="C95" s="33">
        <v>349</v>
      </c>
      <c r="D95" s="34">
        <f t="shared" si="35"/>
        <v>0</v>
      </c>
      <c r="E95" s="35"/>
      <c r="F95" s="35"/>
      <c r="G95" s="34">
        <f t="shared" si="36"/>
        <v>0</v>
      </c>
      <c r="H95" s="35"/>
      <c r="I95" s="100"/>
    </row>
    <row r="96" spans="1:9" ht="37.5" x14ac:dyDescent="0.3">
      <c r="A96" s="29" t="s">
        <v>52</v>
      </c>
      <c r="B96" s="219"/>
      <c r="C96" s="219"/>
      <c r="D96" s="10"/>
      <c r="E96" s="219"/>
      <c r="F96" s="219"/>
    </row>
    <row r="97" spans="1:6" ht="18.75" x14ac:dyDescent="0.3">
      <c r="A97" s="29"/>
      <c r="B97" s="218" t="s">
        <v>53</v>
      </c>
      <c r="C97" s="218"/>
      <c r="D97" s="10"/>
      <c r="E97" s="218" t="s">
        <v>54</v>
      </c>
      <c r="F97" s="218"/>
    </row>
    <row r="98" spans="1:6" ht="18.75" x14ac:dyDescent="0.3">
      <c r="A98" s="29"/>
      <c r="B98" s="10"/>
      <c r="C98" s="10"/>
      <c r="D98" s="10"/>
      <c r="E98" s="10"/>
      <c r="F98" s="10"/>
    </row>
    <row r="99" spans="1:6" ht="37.5" x14ac:dyDescent="0.3">
      <c r="A99" s="29" t="s">
        <v>55</v>
      </c>
      <c r="B99" s="219"/>
      <c r="C99" s="219"/>
      <c r="D99" s="10"/>
      <c r="E99" s="219"/>
      <c r="F99" s="219"/>
    </row>
    <row r="100" spans="1:6" ht="18.75" x14ac:dyDescent="0.3">
      <c r="A100" s="29"/>
      <c r="B100" s="218" t="s">
        <v>53</v>
      </c>
      <c r="C100" s="218"/>
      <c r="D100" s="10"/>
      <c r="E100" s="218" t="s">
        <v>54</v>
      </c>
      <c r="F100" s="218"/>
    </row>
    <row r="101" spans="1:6" ht="18.75" x14ac:dyDescent="0.3">
      <c r="A101" s="29"/>
      <c r="B101" s="116"/>
      <c r="C101" s="116"/>
      <c r="D101" s="10"/>
      <c r="E101" s="116"/>
      <c r="F101" s="116"/>
    </row>
    <row r="102" spans="1:6" ht="18.75" x14ac:dyDescent="0.3">
      <c r="A102" s="29" t="s">
        <v>56</v>
      </c>
      <c r="B102" s="219"/>
      <c r="C102" s="219"/>
      <c r="D102" s="10"/>
      <c r="E102" s="219"/>
      <c r="F102" s="219"/>
    </row>
    <row r="103" spans="1:6" ht="18.75" x14ac:dyDescent="0.3">
      <c r="A103" s="29"/>
      <c r="B103" s="218" t="s">
        <v>53</v>
      </c>
      <c r="C103" s="218"/>
      <c r="D103" s="10"/>
      <c r="E103" s="218" t="s">
        <v>54</v>
      </c>
      <c r="F103" s="218"/>
    </row>
    <row r="104" spans="1:6" ht="18.75" x14ac:dyDescent="0.3">
      <c r="A104" s="29" t="s">
        <v>57</v>
      </c>
      <c r="B104" s="10"/>
      <c r="C104" s="10"/>
      <c r="D104" s="10"/>
      <c r="E104" s="10"/>
      <c r="F104" s="10"/>
    </row>
    <row r="105" spans="1:6" ht="18.75" x14ac:dyDescent="0.3">
      <c r="A105" s="217" t="s">
        <v>44</v>
      </c>
      <c r="B105" s="217"/>
      <c r="C105" s="10"/>
      <c r="D105" s="10"/>
      <c r="E105" s="10"/>
      <c r="F105" s="10"/>
    </row>
  </sheetData>
  <mergeCells count="30">
    <mergeCell ref="B103:C103"/>
    <mergeCell ref="E103:F103"/>
    <mergeCell ref="A105:B105"/>
    <mergeCell ref="B99:C99"/>
    <mergeCell ref="E99:F99"/>
    <mergeCell ref="B100:C100"/>
    <mergeCell ref="E100:F100"/>
    <mergeCell ref="B102:C102"/>
    <mergeCell ref="E102:F102"/>
    <mergeCell ref="B97:C97"/>
    <mergeCell ref="E97:F97"/>
    <mergeCell ref="H6:I6"/>
    <mergeCell ref="E6:F6"/>
    <mergeCell ref="A12:I12"/>
    <mergeCell ref="A31:A32"/>
    <mergeCell ref="A34:A35"/>
    <mergeCell ref="A54:I54"/>
    <mergeCell ref="A73:A74"/>
    <mergeCell ref="A76:A77"/>
    <mergeCell ref="B96:C96"/>
    <mergeCell ref="E96:F96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9"/>
  <sheetViews>
    <sheetView view="pageBreakPreview" zoomScaleNormal="100" zoomScaleSheetLayoutView="100" workbookViewId="0">
      <selection activeCell="E22" sqref="E22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2" t="s">
        <v>261</v>
      </c>
      <c r="B1" s="232"/>
      <c r="C1" s="232"/>
      <c r="D1" s="232"/>
      <c r="E1" s="232"/>
      <c r="F1" s="232"/>
    </row>
    <row r="2" spans="1:6" ht="18.75" x14ac:dyDescent="0.25">
      <c r="A2" s="232" t="s">
        <v>470</v>
      </c>
      <c r="B2" s="232"/>
      <c r="C2" s="232"/>
      <c r="D2" s="232"/>
      <c r="E2" s="232"/>
      <c r="F2" s="232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197</v>
      </c>
      <c r="F5" s="236"/>
    </row>
    <row r="6" spans="1:6" ht="15.75" x14ac:dyDescent="0.25">
      <c r="A6" s="238"/>
      <c r="B6" s="237"/>
      <c r="C6" s="239"/>
      <c r="D6" s="237"/>
      <c r="E6" s="240" t="s">
        <v>6</v>
      </c>
      <c r="F6" s="241"/>
    </row>
    <row r="7" spans="1:6" ht="221.25" thickBot="1" x14ac:dyDescent="0.3">
      <c r="A7" s="225"/>
      <c r="B7" s="227"/>
      <c r="C7" s="229"/>
      <c r="D7" s="227"/>
      <c r="E7" s="3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12.5" x14ac:dyDescent="0.25">
      <c r="A9" s="3" t="s">
        <v>69</v>
      </c>
      <c r="B9" s="58" t="s">
        <v>5</v>
      </c>
      <c r="C9" s="1" t="s">
        <v>5</v>
      </c>
      <c r="D9" s="5">
        <f>E9+F9</f>
        <v>85590837.989999995</v>
      </c>
      <c r="E9" s="2">
        <f>E10</f>
        <v>85590837.989999995</v>
      </c>
      <c r="F9" s="4"/>
    </row>
    <row r="10" spans="1:6" ht="18.75" x14ac:dyDescent="0.25">
      <c r="A10" s="3" t="s">
        <v>7</v>
      </c>
      <c r="B10" s="1" t="s">
        <v>5</v>
      </c>
      <c r="C10" s="1">
        <v>900</v>
      </c>
      <c r="D10" s="5">
        <f t="shared" ref="D10" si="0">E10+F10</f>
        <v>85590837.989999995</v>
      </c>
      <c r="E10" s="2">
        <f>E13+E46+E61+E94</f>
        <v>85590837.989999995</v>
      </c>
      <c r="F10" s="2">
        <f>F13+F46</f>
        <v>0</v>
      </c>
    </row>
    <row r="11" spans="1:6" ht="18.75" x14ac:dyDescent="0.25">
      <c r="A11" s="3" t="s">
        <v>6</v>
      </c>
      <c r="B11" s="1"/>
      <c r="C11" s="1"/>
      <c r="D11" s="5"/>
      <c r="E11" s="2"/>
      <c r="F11" s="4"/>
    </row>
    <row r="12" spans="1:6" ht="33.6" customHeight="1" x14ac:dyDescent="0.25">
      <c r="A12" s="233" t="s">
        <v>200</v>
      </c>
      <c r="B12" s="234"/>
      <c r="C12" s="234"/>
      <c r="D12" s="234"/>
      <c r="E12" s="234"/>
      <c r="F12" s="235"/>
    </row>
    <row r="13" spans="1:6" ht="18.75" x14ac:dyDescent="0.25">
      <c r="A13" s="48" t="s">
        <v>8</v>
      </c>
      <c r="B13" s="49" t="s">
        <v>5</v>
      </c>
      <c r="C13" s="49">
        <v>200</v>
      </c>
      <c r="D13" s="5">
        <f>E13+F13</f>
        <v>16601007.999999998</v>
      </c>
      <c r="E13" s="2">
        <f>E15+E18+E42</f>
        <v>16601007.999999998</v>
      </c>
      <c r="F13" s="2">
        <f>F15+F18+F42</f>
        <v>0</v>
      </c>
    </row>
    <row r="14" spans="1:6" ht="14.45" customHeight="1" x14ac:dyDescent="0.25">
      <c r="A14" s="48" t="s">
        <v>9</v>
      </c>
      <c r="B14" s="49"/>
      <c r="C14" s="49"/>
      <c r="D14" s="5"/>
      <c r="E14" s="2"/>
      <c r="F14" s="2"/>
    </row>
    <row r="15" spans="1:6" ht="75" x14ac:dyDescent="0.25">
      <c r="A15" s="48" t="s">
        <v>10</v>
      </c>
      <c r="B15" s="49" t="s">
        <v>5</v>
      </c>
      <c r="C15" s="49">
        <v>210</v>
      </c>
      <c r="D15" s="5">
        <f t="shared" ref="D15:D50" si="1">E15+F15</f>
        <v>0</v>
      </c>
      <c r="E15" s="2">
        <f>E17</f>
        <v>0</v>
      </c>
      <c r="F15" s="2">
        <f>F17</f>
        <v>0</v>
      </c>
    </row>
    <row r="16" spans="1:6" ht="18.75" x14ac:dyDescent="0.25">
      <c r="A16" s="48" t="s">
        <v>9</v>
      </c>
      <c r="B16" s="49"/>
      <c r="C16" s="49"/>
      <c r="D16" s="5"/>
      <c r="E16" s="2"/>
      <c r="F16" s="2"/>
    </row>
    <row r="17" spans="1:6" ht="93.75" x14ac:dyDescent="0.25">
      <c r="A17" s="48" t="s">
        <v>201</v>
      </c>
      <c r="B17" s="49">
        <v>244</v>
      </c>
      <c r="C17" s="49">
        <v>214</v>
      </c>
      <c r="D17" s="5">
        <f>E17+F17</f>
        <v>0</v>
      </c>
      <c r="E17" s="2">
        <f>'гос.зад на 2022 год '!E128</f>
        <v>0</v>
      </c>
      <c r="F17" s="2"/>
    </row>
    <row r="18" spans="1:6" ht="37.5" x14ac:dyDescent="0.25">
      <c r="A18" s="48" t="s">
        <v>14</v>
      </c>
      <c r="B18" s="49" t="s">
        <v>5</v>
      </c>
      <c r="C18" s="49">
        <v>220</v>
      </c>
      <c r="D18" s="5">
        <f t="shared" si="1"/>
        <v>16601007.999999998</v>
      </c>
      <c r="E18" s="2">
        <f>E20+E21+E22+E33+E34+E37+E40+E41</f>
        <v>16601007.999999998</v>
      </c>
      <c r="F18" s="2">
        <f>F20+F21+F22+F33+F34+F37+F40</f>
        <v>0</v>
      </c>
    </row>
    <row r="19" spans="1:6" ht="18.75" x14ac:dyDescent="0.25">
      <c r="A19" s="48" t="s">
        <v>9</v>
      </c>
      <c r="B19" s="49"/>
      <c r="C19" s="49"/>
      <c r="D19" s="5"/>
      <c r="E19" s="2"/>
      <c r="F19" s="2"/>
    </row>
    <row r="20" spans="1:6" ht="18.75" x14ac:dyDescent="0.25">
      <c r="A20" s="48" t="s">
        <v>15</v>
      </c>
      <c r="B20" s="49">
        <v>244</v>
      </c>
      <c r="C20" s="49">
        <v>221</v>
      </c>
      <c r="D20" s="5">
        <f t="shared" si="1"/>
        <v>1389880</v>
      </c>
      <c r="E20" s="2">
        <f>'гос.зад на 2022 год '!E131</f>
        <v>1389880</v>
      </c>
      <c r="F20" s="2"/>
    </row>
    <row r="21" spans="1:6" ht="37.5" x14ac:dyDescent="0.25">
      <c r="A21" s="48" t="s">
        <v>16</v>
      </c>
      <c r="B21" s="49">
        <v>244</v>
      </c>
      <c r="C21" s="49">
        <v>222</v>
      </c>
      <c r="D21" s="5">
        <f t="shared" si="1"/>
        <v>0</v>
      </c>
      <c r="E21" s="2">
        <f>'гос.зад на 2022 год '!E132</f>
        <v>0</v>
      </c>
      <c r="F21" s="2"/>
    </row>
    <row r="22" spans="1:6" ht="37.5" x14ac:dyDescent="0.25">
      <c r="A22" s="48" t="s">
        <v>17</v>
      </c>
      <c r="B22" s="49" t="s">
        <v>5</v>
      </c>
      <c r="C22" s="49">
        <v>223</v>
      </c>
      <c r="D22" s="5">
        <f t="shared" si="1"/>
        <v>2</v>
      </c>
      <c r="E22" s="2">
        <f t="shared" ref="E22:F22" si="2">E25+E27+E29+E30+E31</f>
        <v>2</v>
      </c>
      <c r="F22" s="2">
        <f t="shared" si="2"/>
        <v>0</v>
      </c>
    </row>
    <row r="23" spans="1:6" ht="18.75" x14ac:dyDescent="0.25">
      <c r="A23" s="48" t="s">
        <v>6</v>
      </c>
      <c r="B23" s="49"/>
      <c r="C23" s="49"/>
      <c r="D23" s="5"/>
      <c r="E23" s="2"/>
      <c r="F23" s="2"/>
    </row>
    <row r="24" spans="1:6" ht="56.25" x14ac:dyDescent="0.25">
      <c r="A24" s="190" t="s">
        <v>18</v>
      </c>
      <c r="B24" s="191">
        <v>244</v>
      </c>
      <c r="C24" s="191">
        <v>223</v>
      </c>
      <c r="D24" s="5">
        <f t="shared" ref="D24" si="3">E24+F24</f>
        <v>0</v>
      </c>
      <c r="E24" s="2">
        <f>'гос.зад на 2022 год '!E134</f>
        <v>0</v>
      </c>
      <c r="F24" s="2"/>
    </row>
    <row r="25" spans="1:6" ht="56.25" x14ac:dyDescent="0.25">
      <c r="A25" s="48" t="s">
        <v>18</v>
      </c>
      <c r="B25" s="49">
        <v>247</v>
      </c>
      <c r="C25" s="49">
        <v>223</v>
      </c>
      <c r="D25" s="5">
        <f t="shared" si="1"/>
        <v>0</v>
      </c>
      <c r="E25" s="2">
        <f>'гос.зад на 2022 год '!E135</f>
        <v>0</v>
      </c>
      <c r="F25" s="2"/>
    </row>
    <row r="26" spans="1:6" ht="37.5" x14ac:dyDescent="0.25">
      <c r="A26" s="190" t="s">
        <v>19</v>
      </c>
      <c r="B26" s="191">
        <v>244</v>
      </c>
      <c r="C26" s="191">
        <v>223</v>
      </c>
      <c r="D26" s="5">
        <f t="shared" ref="D26" si="4">E26+F26</f>
        <v>0</v>
      </c>
      <c r="E26" s="2">
        <f>'гос.зад на 2022 год '!E136</f>
        <v>0</v>
      </c>
      <c r="F26" s="2"/>
    </row>
    <row r="27" spans="1:6" ht="37.5" x14ac:dyDescent="0.25">
      <c r="A27" s="48" t="s">
        <v>19</v>
      </c>
      <c r="B27" s="49">
        <v>247</v>
      </c>
      <c r="C27" s="49">
        <v>223</v>
      </c>
      <c r="D27" s="5">
        <f t="shared" si="1"/>
        <v>0</v>
      </c>
      <c r="E27" s="2">
        <f>'гос.зад на 2022 год '!E137</f>
        <v>0</v>
      </c>
      <c r="F27" s="2"/>
    </row>
    <row r="28" spans="1:6" ht="75" x14ac:dyDescent="0.25">
      <c r="A28" s="190" t="s">
        <v>20</v>
      </c>
      <c r="B28" s="191">
        <v>244</v>
      </c>
      <c r="C28" s="191">
        <v>223</v>
      </c>
      <c r="D28" s="5">
        <f t="shared" ref="D28" si="5">E28+F28</f>
        <v>0</v>
      </c>
      <c r="E28" s="2">
        <f>'гос.зад на 2022 год '!E138</f>
        <v>0</v>
      </c>
      <c r="F28" s="2"/>
    </row>
    <row r="29" spans="1:6" ht="75.599999999999994" customHeight="1" x14ac:dyDescent="0.25">
      <c r="A29" s="48" t="s">
        <v>20</v>
      </c>
      <c r="B29" s="49">
        <v>247</v>
      </c>
      <c r="C29" s="49">
        <v>223</v>
      </c>
      <c r="D29" s="5">
        <f t="shared" si="1"/>
        <v>2</v>
      </c>
      <c r="E29" s="2">
        <f>'гос.зад на 2022 год '!E139</f>
        <v>2</v>
      </c>
      <c r="F29" s="2"/>
    </row>
    <row r="30" spans="1:6" ht="75" x14ac:dyDescent="0.25">
      <c r="A30" s="48" t="s">
        <v>21</v>
      </c>
      <c r="B30" s="49">
        <v>244</v>
      </c>
      <c r="C30" s="49">
        <v>223</v>
      </c>
      <c r="D30" s="5">
        <f t="shared" si="1"/>
        <v>0</v>
      </c>
      <c r="E30" s="2">
        <f>'гос.зад на 2022 год '!E140</f>
        <v>0</v>
      </c>
      <c r="F30" s="2"/>
    </row>
    <row r="31" spans="1:6" ht="56.25" x14ac:dyDescent="0.25">
      <c r="A31" s="48" t="s">
        <v>22</v>
      </c>
      <c r="B31" s="49">
        <v>244</v>
      </c>
      <c r="C31" s="49">
        <v>223</v>
      </c>
      <c r="D31" s="5">
        <f t="shared" si="1"/>
        <v>0</v>
      </c>
      <c r="E31" s="2">
        <f>'гос.зад на 2022 год '!E141</f>
        <v>0</v>
      </c>
      <c r="F31" s="2"/>
    </row>
    <row r="32" spans="1:6" ht="56.25" x14ac:dyDescent="0.25">
      <c r="A32" s="195" t="s">
        <v>446</v>
      </c>
      <c r="B32" s="196">
        <v>244</v>
      </c>
      <c r="C32" s="196">
        <v>223</v>
      </c>
      <c r="D32" s="5">
        <f t="shared" ref="D32" si="6">E32+F32</f>
        <v>0</v>
      </c>
      <c r="E32" s="2">
        <f>'гос.зад на 2022 год '!E142</f>
        <v>0</v>
      </c>
      <c r="F32" s="2"/>
    </row>
    <row r="33" spans="1:6" ht="177.75" customHeight="1" x14ac:dyDescent="0.25">
      <c r="A33" s="48" t="s">
        <v>23</v>
      </c>
      <c r="B33" s="49">
        <v>244</v>
      </c>
      <c r="C33" s="49">
        <v>224</v>
      </c>
      <c r="D33" s="5">
        <f t="shared" si="1"/>
        <v>0</v>
      </c>
      <c r="E33" s="2">
        <f>'гос.зад на 2022 год '!E143</f>
        <v>0</v>
      </c>
      <c r="F33" s="2"/>
    </row>
    <row r="34" spans="1:6" ht="56.25" x14ac:dyDescent="0.25">
      <c r="A34" s="48" t="s">
        <v>24</v>
      </c>
      <c r="B34" s="49" t="s">
        <v>5</v>
      </c>
      <c r="C34" s="49">
        <v>225</v>
      </c>
      <c r="D34" s="2">
        <f t="shared" ref="D34:F34" si="7">D35+D36</f>
        <v>8707959.9999999981</v>
      </c>
      <c r="E34" s="2">
        <f>E35+E36</f>
        <v>8707959.9999999981</v>
      </c>
      <c r="F34" s="2">
        <f t="shared" si="7"/>
        <v>0</v>
      </c>
    </row>
    <row r="35" spans="1:6" ht="18.75" x14ac:dyDescent="0.25">
      <c r="A35" s="216" t="s">
        <v>6</v>
      </c>
      <c r="B35" s="49">
        <v>243</v>
      </c>
      <c r="C35" s="49">
        <v>225</v>
      </c>
      <c r="D35" s="5">
        <f t="shared" si="1"/>
        <v>0</v>
      </c>
      <c r="E35" s="2">
        <f>'гос.зад на 2022 год '!E145</f>
        <v>0</v>
      </c>
      <c r="F35" s="2"/>
    </row>
    <row r="36" spans="1:6" ht="18.75" x14ac:dyDescent="0.25">
      <c r="A36" s="216"/>
      <c r="B36" s="49">
        <v>244</v>
      </c>
      <c r="C36" s="49">
        <v>225</v>
      </c>
      <c r="D36" s="5">
        <f>E36+F36</f>
        <v>8707959.9999999981</v>
      </c>
      <c r="E36" s="2">
        <f>'гос.зад на 2022 год '!E146</f>
        <v>8707959.9999999981</v>
      </c>
      <c r="F36" s="2"/>
    </row>
    <row r="37" spans="1:6" ht="37.5" x14ac:dyDescent="0.25">
      <c r="A37" s="48" t="s">
        <v>58</v>
      </c>
      <c r="B37" s="49" t="s">
        <v>5</v>
      </c>
      <c r="C37" s="49">
        <v>226</v>
      </c>
      <c r="D37" s="5">
        <f t="shared" si="1"/>
        <v>6503166</v>
      </c>
      <c r="E37" s="2">
        <f>E38+E39</f>
        <v>6503166</v>
      </c>
      <c r="F37" s="2">
        <f>F38+F39</f>
        <v>0</v>
      </c>
    </row>
    <row r="38" spans="1:6" ht="18.75" x14ac:dyDescent="0.25">
      <c r="A38" s="216" t="s">
        <v>6</v>
      </c>
      <c r="B38" s="49">
        <v>243</v>
      </c>
      <c r="C38" s="49">
        <v>226</v>
      </c>
      <c r="D38" s="5">
        <f t="shared" si="1"/>
        <v>0</v>
      </c>
      <c r="E38" s="2">
        <f>'гос.зад на 2022 год '!E148</f>
        <v>0</v>
      </c>
      <c r="F38" s="2"/>
    </row>
    <row r="39" spans="1:6" ht="18.75" x14ac:dyDescent="0.25">
      <c r="A39" s="216"/>
      <c r="B39" s="49">
        <v>244</v>
      </c>
      <c r="C39" s="49">
        <v>226</v>
      </c>
      <c r="D39" s="5">
        <f t="shared" si="1"/>
        <v>6503166</v>
      </c>
      <c r="E39" s="2">
        <f>'гос.зад на 2022 год '!E149</f>
        <v>6503166</v>
      </c>
      <c r="F39" s="2"/>
    </row>
    <row r="40" spans="1:6" ht="18.75" x14ac:dyDescent="0.25">
      <c r="A40" s="48" t="s">
        <v>25</v>
      </c>
      <c r="B40" s="49">
        <v>244</v>
      </c>
      <c r="C40" s="49">
        <v>227</v>
      </c>
      <c r="D40" s="5">
        <f t="shared" si="1"/>
        <v>0</v>
      </c>
      <c r="E40" s="2">
        <f>'гос.зад на 2022 год '!E150</f>
        <v>0</v>
      </c>
      <c r="F40" s="2"/>
    </row>
    <row r="41" spans="1:6" ht="56.25" x14ac:dyDescent="0.25">
      <c r="A41" s="170" t="s">
        <v>346</v>
      </c>
      <c r="B41" s="171">
        <v>244</v>
      </c>
      <c r="C41" s="171">
        <v>228</v>
      </c>
      <c r="D41" s="5">
        <f>E41+F41</f>
        <v>0</v>
      </c>
      <c r="E41" s="2">
        <f>'гос.зад на 2022 год '!E151</f>
        <v>0</v>
      </c>
      <c r="F41" s="2"/>
    </row>
    <row r="42" spans="1:6" ht="18.75" x14ac:dyDescent="0.25">
      <c r="A42" s="48" t="s">
        <v>30</v>
      </c>
      <c r="B42" s="49" t="s">
        <v>5</v>
      </c>
      <c r="C42" s="49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48" t="s">
        <v>9</v>
      </c>
      <c r="B43" s="49"/>
      <c r="C43" s="49"/>
      <c r="D43" s="5">
        <f t="shared" si="1"/>
        <v>0</v>
      </c>
      <c r="E43" s="2"/>
      <c r="F43" s="2"/>
    </row>
    <row r="44" spans="1:6" ht="56.25" x14ac:dyDescent="0.25">
      <c r="A44" s="48" t="s">
        <v>34</v>
      </c>
      <c r="B44" s="49">
        <v>244</v>
      </c>
      <c r="C44" s="49">
        <v>296</v>
      </c>
      <c r="D44" s="5">
        <f t="shared" si="1"/>
        <v>0</v>
      </c>
      <c r="E44" s="2">
        <f>'гос.зад на 2022 год '!E154</f>
        <v>0</v>
      </c>
      <c r="F44" s="2"/>
    </row>
    <row r="45" spans="1:6" ht="56.25" x14ac:dyDescent="0.25">
      <c r="A45" s="48" t="s">
        <v>35</v>
      </c>
      <c r="B45" s="49">
        <v>244</v>
      </c>
      <c r="C45" s="49">
        <v>297</v>
      </c>
      <c r="D45" s="5">
        <f t="shared" si="1"/>
        <v>0</v>
      </c>
      <c r="E45" s="2">
        <f>'гос.зад на 2022 год '!E155</f>
        <v>0</v>
      </c>
      <c r="F45" s="2"/>
    </row>
    <row r="46" spans="1:6" ht="56.25" x14ac:dyDescent="0.25">
      <c r="A46" s="48" t="s">
        <v>59</v>
      </c>
      <c r="B46" s="49" t="s">
        <v>5</v>
      </c>
      <c r="C46" s="49">
        <v>300</v>
      </c>
      <c r="D46" s="5">
        <f t="shared" si="1"/>
        <v>244800</v>
      </c>
      <c r="E46" s="2">
        <f>E48+E50+E49</f>
        <v>244800</v>
      </c>
      <c r="F46" s="2">
        <f>F48+F50+F49</f>
        <v>0</v>
      </c>
    </row>
    <row r="47" spans="1:6" ht="18.75" x14ac:dyDescent="0.25">
      <c r="A47" s="48" t="s">
        <v>9</v>
      </c>
      <c r="B47" s="49"/>
      <c r="C47" s="49"/>
      <c r="D47" s="5"/>
      <c r="E47" s="2"/>
      <c r="F47" s="2"/>
    </row>
    <row r="48" spans="1:6" ht="14.45" customHeight="1" x14ac:dyDescent="0.25">
      <c r="A48" s="48" t="s">
        <v>36</v>
      </c>
      <c r="B48" s="49">
        <v>244</v>
      </c>
      <c r="C48" s="49">
        <v>310</v>
      </c>
      <c r="D48" s="5">
        <f t="shared" si="1"/>
        <v>0</v>
      </c>
      <c r="E48" s="2">
        <f>'гос.зад на 2022 год '!E158</f>
        <v>0</v>
      </c>
      <c r="F48" s="2"/>
    </row>
    <row r="49" spans="1:6" ht="75" x14ac:dyDescent="0.25">
      <c r="A49" s="48" t="s">
        <v>68</v>
      </c>
      <c r="B49" s="49">
        <v>244</v>
      </c>
      <c r="C49" s="49">
        <v>320</v>
      </c>
      <c r="D49" s="5">
        <f t="shared" si="1"/>
        <v>0</v>
      </c>
      <c r="E49" s="2">
        <f>'гос.зад на 2022 год '!E159</f>
        <v>0</v>
      </c>
      <c r="F49" s="2"/>
    </row>
    <row r="50" spans="1:6" ht="75" x14ac:dyDescent="0.25">
      <c r="A50" s="48" t="s">
        <v>60</v>
      </c>
      <c r="B50" s="49" t="s">
        <v>5</v>
      </c>
      <c r="C50" s="49">
        <v>340</v>
      </c>
      <c r="D50" s="5">
        <f t="shared" si="1"/>
        <v>244800</v>
      </c>
      <c r="E50" s="2">
        <f>E52+E53+E54+E55+E56+E57+E58+E59</f>
        <v>244800</v>
      </c>
      <c r="F50" s="2">
        <f>F52+F53+F54+F55+F56+F57+F59</f>
        <v>0</v>
      </c>
    </row>
    <row r="51" spans="1:6" ht="18.75" x14ac:dyDescent="0.25">
      <c r="A51" s="48" t="s">
        <v>6</v>
      </c>
      <c r="B51" s="49"/>
      <c r="C51" s="49"/>
      <c r="D51" s="5"/>
      <c r="E51" s="2"/>
      <c r="F51" s="2"/>
    </row>
    <row r="52" spans="1:6" ht="131.25" x14ac:dyDescent="0.25">
      <c r="A52" s="48" t="s">
        <v>37</v>
      </c>
      <c r="B52" s="49">
        <v>244</v>
      </c>
      <c r="C52" s="49">
        <v>341</v>
      </c>
      <c r="D52" s="5">
        <f t="shared" ref="D52:D59" si="8">E52+F52</f>
        <v>0</v>
      </c>
      <c r="E52" s="2">
        <f>'гос.зад на 2022 год '!E162</f>
        <v>0</v>
      </c>
      <c r="F52" s="2"/>
    </row>
    <row r="53" spans="1:6" ht="56.25" x14ac:dyDescent="0.25">
      <c r="A53" s="48" t="s">
        <v>38</v>
      </c>
      <c r="B53" s="49">
        <v>244</v>
      </c>
      <c r="C53" s="49">
        <v>342</v>
      </c>
      <c r="D53" s="5">
        <f t="shared" si="8"/>
        <v>0</v>
      </c>
      <c r="E53" s="2">
        <f>'гос.зад на 2022 год '!E163</f>
        <v>0</v>
      </c>
      <c r="F53" s="2"/>
    </row>
    <row r="54" spans="1:6" ht="75" x14ac:dyDescent="0.25">
      <c r="A54" s="48" t="s">
        <v>39</v>
      </c>
      <c r="B54" s="49">
        <v>244</v>
      </c>
      <c r="C54" s="49">
        <v>343</v>
      </c>
      <c r="D54" s="5">
        <f t="shared" si="8"/>
        <v>244800</v>
      </c>
      <c r="E54" s="2">
        <f>'гос.зад на 2022 год '!E164</f>
        <v>244800</v>
      </c>
      <c r="F54" s="2"/>
    </row>
    <row r="55" spans="1:6" ht="75" x14ac:dyDescent="0.25">
      <c r="A55" s="48" t="s">
        <v>40</v>
      </c>
      <c r="B55" s="49">
        <v>244</v>
      </c>
      <c r="C55" s="49">
        <v>344</v>
      </c>
      <c r="D55" s="5">
        <f t="shared" si="8"/>
        <v>0</v>
      </c>
      <c r="E55" s="2">
        <f>'гос.зад на 2022 год '!E165</f>
        <v>0</v>
      </c>
      <c r="F55" s="2"/>
    </row>
    <row r="56" spans="1:6" ht="56.25" x14ac:dyDescent="0.25">
      <c r="A56" s="48" t="s">
        <v>41</v>
      </c>
      <c r="B56" s="49">
        <v>244</v>
      </c>
      <c r="C56" s="49">
        <v>345</v>
      </c>
      <c r="D56" s="5">
        <f t="shared" si="8"/>
        <v>0</v>
      </c>
      <c r="E56" s="2">
        <f>'гос.зад на 2022 год '!E166</f>
        <v>0</v>
      </c>
      <c r="F56" s="2"/>
    </row>
    <row r="57" spans="1:6" ht="75" x14ac:dyDescent="0.25">
      <c r="A57" s="48" t="s">
        <v>42</v>
      </c>
      <c r="B57" s="49">
        <v>244</v>
      </c>
      <c r="C57" s="49">
        <v>346</v>
      </c>
      <c r="D57" s="5">
        <f>E57+F57</f>
        <v>0</v>
      </c>
      <c r="E57" s="2">
        <f>'гос.зад на 2022 год '!E167</f>
        <v>0</v>
      </c>
      <c r="F57" s="2"/>
    </row>
    <row r="58" spans="1:6" ht="112.5" x14ac:dyDescent="0.25">
      <c r="A58" s="170" t="s">
        <v>347</v>
      </c>
      <c r="B58" s="171">
        <v>244</v>
      </c>
      <c r="C58" s="171">
        <v>347</v>
      </c>
      <c r="D58" s="5">
        <f>E58+F58</f>
        <v>0</v>
      </c>
      <c r="E58" s="2">
        <f>'гос.зад на 2022 год '!E168</f>
        <v>0</v>
      </c>
      <c r="F58" s="2"/>
    </row>
    <row r="59" spans="1:6" ht="112.5" x14ac:dyDescent="0.25">
      <c r="A59" s="48" t="s">
        <v>43</v>
      </c>
      <c r="B59" s="49">
        <v>244</v>
      </c>
      <c r="C59" s="49">
        <v>349</v>
      </c>
      <c r="D59" s="5">
        <f t="shared" si="8"/>
        <v>0</v>
      </c>
      <c r="E59" s="2">
        <f>'гос.зад на 2022 год '!E169</f>
        <v>0</v>
      </c>
      <c r="F59" s="2"/>
    </row>
    <row r="60" spans="1:6" ht="32.450000000000003" customHeight="1" x14ac:dyDescent="0.25">
      <c r="A60" s="233" t="s">
        <v>202</v>
      </c>
      <c r="B60" s="234"/>
      <c r="C60" s="234"/>
      <c r="D60" s="234"/>
      <c r="E60" s="234"/>
      <c r="F60" s="235"/>
    </row>
    <row r="61" spans="1:6" ht="18.75" x14ac:dyDescent="0.25">
      <c r="A61" s="48" t="s">
        <v>8</v>
      </c>
      <c r="B61" s="49" t="s">
        <v>5</v>
      </c>
      <c r="C61" s="49">
        <v>200</v>
      </c>
      <c r="D61" s="5">
        <f t="shared" ref="D61" si="9">E61+F61</f>
        <v>58830026.549999997</v>
      </c>
      <c r="E61" s="2">
        <f>E63+E66+E90</f>
        <v>58830026.549999997</v>
      </c>
      <c r="F61" s="2">
        <f>F63+F66+F90</f>
        <v>0</v>
      </c>
    </row>
    <row r="62" spans="1:6" ht="18.75" x14ac:dyDescent="0.25">
      <c r="A62" s="48" t="s">
        <v>9</v>
      </c>
      <c r="B62" s="49"/>
      <c r="C62" s="49"/>
      <c r="D62" s="5"/>
      <c r="E62" s="2"/>
      <c r="F62" s="2"/>
    </row>
    <row r="63" spans="1:6" ht="75" x14ac:dyDescent="0.25">
      <c r="A63" s="48" t="s">
        <v>10</v>
      </c>
      <c r="B63" s="49" t="s">
        <v>5</v>
      </c>
      <c r="C63" s="49">
        <v>210</v>
      </c>
      <c r="D63" s="5">
        <f t="shared" ref="D63" si="10">E63+F63</f>
        <v>0</v>
      </c>
      <c r="E63" s="2">
        <f>E65</f>
        <v>0</v>
      </c>
      <c r="F63" s="2">
        <f>F65</f>
        <v>0</v>
      </c>
    </row>
    <row r="64" spans="1:6" ht="18.75" x14ac:dyDescent="0.25">
      <c r="A64" s="48" t="s">
        <v>9</v>
      </c>
      <c r="B64" s="49"/>
      <c r="C64" s="49"/>
      <c r="D64" s="5"/>
      <c r="E64" s="2"/>
      <c r="F64" s="2"/>
    </row>
    <row r="65" spans="1:6" ht="93.75" x14ac:dyDescent="0.25">
      <c r="A65" s="48" t="s">
        <v>201</v>
      </c>
      <c r="B65" s="49">
        <v>244</v>
      </c>
      <c r="C65" s="49">
        <v>214</v>
      </c>
      <c r="D65" s="5">
        <f>E65+F65</f>
        <v>0</v>
      </c>
      <c r="E65" s="2">
        <f>'гос.зад на 2022 год '!E175</f>
        <v>0</v>
      </c>
      <c r="F65" s="2"/>
    </row>
    <row r="66" spans="1:6" ht="37.5" x14ac:dyDescent="0.25">
      <c r="A66" s="48" t="s">
        <v>14</v>
      </c>
      <c r="B66" s="49" t="s">
        <v>5</v>
      </c>
      <c r="C66" s="49">
        <v>220</v>
      </c>
      <c r="D66" s="5">
        <f t="shared" ref="D66" si="11">E66+F66</f>
        <v>58830026.549999997</v>
      </c>
      <c r="E66" s="2">
        <f>E68+E69+E70+E81+E82+E85+E88+E89</f>
        <v>58830026.549999997</v>
      </c>
      <c r="F66" s="2">
        <f>F68+F69+F70+F81+F82+F85+F88</f>
        <v>0</v>
      </c>
    </row>
    <row r="67" spans="1:6" ht="18.75" x14ac:dyDescent="0.25">
      <c r="A67" s="48" t="s">
        <v>9</v>
      </c>
      <c r="B67" s="49"/>
      <c r="C67" s="49"/>
      <c r="D67" s="5"/>
      <c r="E67" s="2"/>
      <c r="F67" s="2"/>
    </row>
    <row r="68" spans="1:6" ht="18.75" x14ac:dyDescent="0.25">
      <c r="A68" s="48" t="s">
        <v>15</v>
      </c>
      <c r="B68" s="49">
        <v>244</v>
      </c>
      <c r="C68" s="49">
        <v>221</v>
      </c>
      <c r="D68" s="5">
        <f t="shared" ref="D68:D70" si="12">E68+F68</f>
        <v>1029684.23</v>
      </c>
      <c r="E68" s="2">
        <f>'гос.зад на 2022 год '!E178</f>
        <v>1029684.23</v>
      </c>
      <c r="F68" s="2"/>
    </row>
    <row r="69" spans="1:6" ht="37.5" x14ac:dyDescent="0.25">
      <c r="A69" s="48" t="s">
        <v>16</v>
      </c>
      <c r="B69" s="49">
        <v>244</v>
      </c>
      <c r="C69" s="49">
        <v>222</v>
      </c>
      <c r="D69" s="5">
        <f t="shared" si="12"/>
        <v>0</v>
      </c>
      <c r="E69" s="2">
        <f>'гос.зад на 2022 год '!E179</f>
        <v>0</v>
      </c>
      <c r="F69" s="2"/>
    </row>
    <row r="70" spans="1:6" ht="37.5" x14ac:dyDescent="0.25">
      <c r="A70" s="48" t="s">
        <v>17</v>
      </c>
      <c r="B70" s="49" t="s">
        <v>5</v>
      </c>
      <c r="C70" s="49">
        <v>223</v>
      </c>
      <c r="D70" s="5">
        <f t="shared" si="12"/>
        <v>38489201.359999999</v>
      </c>
      <c r="E70" s="2">
        <f t="shared" ref="E70:F70" si="13">E73+E75+E77+E78+E79</f>
        <v>38489201.359999999</v>
      </c>
      <c r="F70" s="2">
        <f t="shared" si="13"/>
        <v>0</v>
      </c>
    </row>
    <row r="71" spans="1:6" ht="18.75" x14ac:dyDescent="0.25">
      <c r="A71" s="48" t="s">
        <v>6</v>
      </c>
      <c r="B71" s="49"/>
      <c r="C71" s="49"/>
      <c r="D71" s="5"/>
      <c r="E71" s="2"/>
      <c r="F71" s="2"/>
    </row>
    <row r="72" spans="1:6" ht="56.25" x14ac:dyDescent="0.25">
      <c r="A72" s="201" t="s">
        <v>18</v>
      </c>
      <c r="B72" s="202">
        <v>244</v>
      </c>
      <c r="C72" s="202">
        <v>223</v>
      </c>
      <c r="D72" s="5">
        <f t="shared" ref="D72" si="14">E72+F72</f>
        <v>0</v>
      </c>
      <c r="E72" s="2">
        <f>'гос.зад на 2022 год '!E181</f>
        <v>0</v>
      </c>
      <c r="F72" s="2"/>
    </row>
    <row r="73" spans="1:6" ht="56.25" x14ac:dyDescent="0.25">
      <c r="A73" s="48" t="s">
        <v>18</v>
      </c>
      <c r="B73" s="49">
        <v>247</v>
      </c>
      <c r="C73" s="49">
        <v>223</v>
      </c>
      <c r="D73" s="5">
        <f t="shared" ref="D73:D81" si="15">E73+F73</f>
        <v>0</v>
      </c>
      <c r="E73" s="2">
        <f>'гос.зад на 2022 год '!E182</f>
        <v>0</v>
      </c>
      <c r="F73" s="2"/>
    </row>
    <row r="74" spans="1:6" ht="37.5" x14ac:dyDescent="0.25">
      <c r="A74" s="201" t="s">
        <v>19</v>
      </c>
      <c r="B74" s="202">
        <v>244</v>
      </c>
      <c r="C74" s="202">
        <v>223</v>
      </c>
      <c r="D74" s="5">
        <f t="shared" ref="D74" si="16">E74+F74</f>
        <v>0</v>
      </c>
      <c r="E74" s="2">
        <f>'гос.зад на 2022 год '!E182</f>
        <v>0</v>
      </c>
      <c r="F74" s="2"/>
    </row>
    <row r="75" spans="1:6" ht="37.5" x14ac:dyDescent="0.25">
      <c r="A75" s="48" t="s">
        <v>19</v>
      </c>
      <c r="B75" s="49">
        <v>247</v>
      </c>
      <c r="C75" s="49">
        <v>223</v>
      </c>
      <c r="D75" s="5">
        <f t="shared" si="15"/>
        <v>3890688.38</v>
      </c>
      <c r="E75" s="2">
        <f>'гос.зад на 2022 год '!E184</f>
        <v>3890688.38</v>
      </c>
      <c r="F75" s="2"/>
    </row>
    <row r="76" spans="1:6" ht="75" x14ac:dyDescent="0.25">
      <c r="A76" s="201" t="s">
        <v>20</v>
      </c>
      <c r="B76" s="202">
        <v>244</v>
      </c>
      <c r="C76" s="202">
        <v>223</v>
      </c>
      <c r="D76" s="5">
        <f t="shared" ref="D76" si="17">E76+F76</f>
        <v>0</v>
      </c>
      <c r="E76" s="2">
        <f>'гос.зад на 2022 год '!E185</f>
        <v>0</v>
      </c>
      <c r="F76" s="2"/>
    </row>
    <row r="77" spans="1:6" ht="75" x14ac:dyDescent="0.25">
      <c r="A77" s="48" t="s">
        <v>20</v>
      </c>
      <c r="B77" s="49">
        <v>247</v>
      </c>
      <c r="C77" s="49">
        <v>223</v>
      </c>
      <c r="D77" s="5">
        <f t="shared" si="15"/>
        <v>27315315.02</v>
      </c>
      <c r="E77" s="2">
        <f>'гос.зад на 2022 год '!E186</f>
        <v>27315315.02</v>
      </c>
      <c r="F77" s="2"/>
    </row>
    <row r="78" spans="1:6" ht="75" x14ac:dyDescent="0.25">
      <c r="A78" s="48" t="s">
        <v>21</v>
      </c>
      <c r="B78" s="49">
        <v>244</v>
      </c>
      <c r="C78" s="49">
        <v>223</v>
      </c>
      <c r="D78" s="5">
        <f t="shared" si="15"/>
        <v>6693716.8600000003</v>
      </c>
      <c r="E78" s="2">
        <f>'гос.зад на 2022 год '!E187</f>
        <v>6693716.8600000003</v>
      </c>
      <c r="F78" s="2"/>
    </row>
    <row r="79" spans="1:6" ht="56.25" x14ac:dyDescent="0.25">
      <c r="A79" s="48" t="s">
        <v>22</v>
      </c>
      <c r="B79" s="49">
        <v>244</v>
      </c>
      <c r="C79" s="49">
        <v>223</v>
      </c>
      <c r="D79" s="5">
        <f t="shared" si="15"/>
        <v>589481.1</v>
      </c>
      <c r="E79" s="2">
        <f>'гос.зад на 2022 год '!E188</f>
        <v>589481.1</v>
      </c>
      <c r="F79" s="2"/>
    </row>
    <row r="80" spans="1:6" ht="56.25" x14ac:dyDescent="0.25">
      <c r="A80" s="195" t="s">
        <v>446</v>
      </c>
      <c r="B80" s="196">
        <v>244</v>
      </c>
      <c r="C80" s="196">
        <v>223</v>
      </c>
      <c r="D80" s="5">
        <f t="shared" ref="D80" si="18">E80+F80</f>
        <v>30244.85</v>
      </c>
      <c r="E80" s="2">
        <f>'гос.зад на 2022 год '!E189</f>
        <v>30244.85</v>
      </c>
      <c r="F80" s="2"/>
    </row>
    <row r="81" spans="1:6" ht="168.75" x14ac:dyDescent="0.25">
      <c r="A81" s="48" t="s">
        <v>23</v>
      </c>
      <c r="B81" s="49">
        <v>244</v>
      </c>
      <c r="C81" s="49">
        <v>224</v>
      </c>
      <c r="D81" s="5">
        <f t="shared" si="15"/>
        <v>0</v>
      </c>
      <c r="E81" s="2">
        <f>'гос.зад на 2022 год '!E190</f>
        <v>0</v>
      </c>
      <c r="F81" s="2"/>
    </row>
    <row r="82" spans="1:6" ht="56.25" x14ac:dyDescent="0.25">
      <c r="A82" s="48" t="s">
        <v>24</v>
      </c>
      <c r="B82" s="49" t="s">
        <v>5</v>
      </c>
      <c r="C82" s="49">
        <v>225</v>
      </c>
      <c r="D82" s="2">
        <f t="shared" ref="D82" si="19">D83+D84</f>
        <v>16678294.550000003</v>
      </c>
      <c r="E82" s="2">
        <f>E83+E84</f>
        <v>16678294.550000003</v>
      </c>
      <c r="F82" s="2">
        <f t="shared" ref="F82" si="20">F83+F84</f>
        <v>0</v>
      </c>
    </row>
    <row r="83" spans="1:6" ht="18.75" x14ac:dyDescent="0.25">
      <c r="A83" s="216" t="s">
        <v>6</v>
      </c>
      <c r="B83" s="49">
        <v>243</v>
      </c>
      <c r="C83" s="49">
        <v>225</v>
      </c>
      <c r="D83" s="5">
        <f t="shared" ref="D83:D94" si="21">E83+F83</f>
        <v>0</v>
      </c>
      <c r="E83" s="2">
        <f>'гос.зад на 2022 год '!E192</f>
        <v>0</v>
      </c>
      <c r="F83" s="2"/>
    </row>
    <row r="84" spans="1:6" ht="18.75" x14ac:dyDescent="0.25">
      <c r="A84" s="216"/>
      <c r="B84" s="49">
        <v>244</v>
      </c>
      <c r="C84" s="49">
        <v>225</v>
      </c>
      <c r="D84" s="5">
        <f t="shared" si="21"/>
        <v>16678294.550000003</v>
      </c>
      <c r="E84" s="2">
        <f>'гос.зад на 2022 год '!E193</f>
        <v>16678294.550000003</v>
      </c>
      <c r="F84" s="2"/>
    </row>
    <row r="85" spans="1:6" ht="37.5" x14ac:dyDescent="0.25">
      <c r="A85" s="48" t="s">
        <v>58</v>
      </c>
      <c r="B85" s="49" t="s">
        <v>5</v>
      </c>
      <c r="C85" s="49">
        <v>226</v>
      </c>
      <c r="D85" s="5">
        <f t="shared" si="21"/>
        <v>2626878.7899999991</v>
      </c>
      <c r="E85" s="2">
        <f>E86+E87</f>
        <v>2626878.7899999991</v>
      </c>
      <c r="F85" s="2">
        <f>F86+F87</f>
        <v>0</v>
      </c>
    </row>
    <row r="86" spans="1:6" ht="18.75" x14ac:dyDescent="0.25">
      <c r="A86" s="216" t="s">
        <v>6</v>
      </c>
      <c r="B86" s="49">
        <v>243</v>
      </c>
      <c r="C86" s="49">
        <v>226</v>
      </c>
      <c r="D86" s="5">
        <f t="shared" si="21"/>
        <v>0</v>
      </c>
      <c r="E86" s="2">
        <f>'гос.зад на 2022 год '!E195</f>
        <v>0</v>
      </c>
      <c r="F86" s="2"/>
    </row>
    <row r="87" spans="1:6" ht="18.75" x14ac:dyDescent="0.25">
      <c r="A87" s="216"/>
      <c r="B87" s="49">
        <v>244</v>
      </c>
      <c r="C87" s="49">
        <v>226</v>
      </c>
      <c r="D87" s="5">
        <f t="shared" si="21"/>
        <v>2626878.7899999991</v>
      </c>
      <c r="E87" s="2">
        <f>'гос.зад на 2022 год '!E196</f>
        <v>2626878.7899999991</v>
      </c>
      <c r="F87" s="2"/>
    </row>
    <row r="88" spans="1:6" ht="18.75" x14ac:dyDescent="0.25">
      <c r="A88" s="48" t="s">
        <v>25</v>
      </c>
      <c r="B88" s="49">
        <v>244</v>
      </c>
      <c r="C88" s="49">
        <v>227</v>
      </c>
      <c r="D88" s="5">
        <f t="shared" si="21"/>
        <v>5967.62</v>
      </c>
      <c r="E88" s="2">
        <f>'гос.зад на 2022 год '!E197</f>
        <v>5967.62</v>
      </c>
      <c r="F88" s="2"/>
    </row>
    <row r="89" spans="1:6" ht="56.25" x14ac:dyDescent="0.25">
      <c r="A89" s="170" t="s">
        <v>346</v>
      </c>
      <c r="B89" s="171">
        <v>244</v>
      </c>
      <c r="C89" s="171">
        <v>228</v>
      </c>
      <c r="D89" s="5">
        <f t="shared" ref="D89" si="22">E89+F89</f>
        <v>0</v>
      </c>
      <c r="E89" s="2">
        <f>'гос.зад на 2022 год '!E199</f>
        <v>0</v>
      </c>
      <c r="F89" s="2"/>
    </row>
    <row r="90" spans="1:6" ht="18.75" x14ac:dyDescent="0.25">
      <c r="A90" s="48" t="s">
        <v>30</v>
      </c>
      <c r="B90" s="49" t="s">
        <v>5</v>
      </c>
      <c r="C90" s="49">
        <v>290</v>
      </c>
      <c r="D90" s="5">
        <f t="shared" si="21"/>
        <v>0</v>
      </c>
      <c r="E90" s="2">
        <f>E92+E93</f>
        <v>0</v>
      </c>
      <c r="F90" s="2">
        <f>F92+F93</f>
        <v>0</v>
      </c>
    </row>
    <row r="91" spans="1:6" ht="18.75" x14ac:dyDescent="0.25">
      <c r="A91" s="48" t="s">
        <v>9</v>
      </c>
      <c r="B91" s="49"/>
      <c r="C91" s="49"/>
      <c r="D91" s="5">
        <f t="shared" si="21"/>
        <v>0</v>
      </c>
      <c r="E91" s="2"/>
      <c r="F91" s="2"/>
    </row>
    <row r="92" spans="1:6" ht="56.25" x14ac:dyDescent="0.25">
      <c r="A92" s="48" t="s">
        <v>34</v>
      </c>
      <c r="B92" s="49">
        <v>244</v>
      </c>
      <c r="C92" s="49">
        <v>296</v>
      </c>
      <c r="D92" s="5">
        <f t="shared" si="21"/>
        <v>0</v>
      </c>
      <c r="E92" s="2">
        <f>'гос.зад на 2022 год '!E201</f>
        <v>0</v>
      </c>
      <c r="F92" s="2"/>
    </row>
    <row r="93" spans="1:6" ht="56.25" x14ac:dyDescent="0.25">
      <c r="A93" s="48" t="s">
        <v>35</v>
      </c>
      <c r="B93" s="49">
        <v>244</v>
      </c>
      <c r="C93" s="49">
        <v>297</v>
      </c>
      <c r="D93" s="5">
        <f t="shared" si="21"/>
        <v>0</v>
      </c>
      <c r="E93" s="2">
        <f>'гос.зад на 2022 год '!E202</f>
        <v>0</v>
      </c>
      <c r="F93" s="2"/>
    </row>
    <row r="94" spans="1:6" ht="56.25" x14ac:dyDescent="0.25">
      <c r="A94" s="48" t="s">
        <v>59</v>
      </c>
      <c r="B94" s="49" t="s">
        <v>5</v>
      </c>
      <c r="C94" s="49">
        <v>300</v>
      </c>
      <c r="D94" s="5">
        <f t="shared" si="21"/>
        <v>9915003.4399999995</v>
      </c>
      <c r="E94" s="2">
        <f>E96+E98+E97</f>
        <v>9915003.4399999995</v>
      </c>
      <c r="F94" s="2">
        <f>F96+F98+F97</f>
        <v>0</v>
      </c>
    </row>
    <row r="95" spans="1:6" ht="18.75" x14ac:dyDescent="0.25">
      <c r="A95" s="48" t="s">
        <v>9</v>
      </c>
      <c r="B95" s="49"/>
      <c r="C95" s="49"/>
      <c r="D95" s="5"/>
      <c r="E95" s="2"/>
      <c r="F95" s="2"/>
    </row>
    <row r="96" spans="1:6" ht="56.25" x14ac:dyDescent="0.25">
      <c r="A96" s="48" t="s">
        <v>36</v>
      </c>
      <c r="B96" s="49">
        <v>244</v>
      </c>
      <c r="C96" s="49">
        <v>310</v>
      </c>
      <c r="D96" s="5">
        <f t="shared" ref="D96:D98" si="23">E96+F96</f>
        <v>0</v>
      </c>
      <c r="E96" s="2">
        <f>'гос.зад на 2022 год '!E205</f>
        <v>0</v>
      </c>
      <c r="F96" s="2"/>
    </row>
    <row r="97" spans="1:6" ht="75" x14ac:dyDescent="0.25">
      <c r="A97" s="48" t="s">
        <v>68</v>
      </c>
      <c r="B97" s="49">
        <v>244</v>
      </c>
      <c r="C97" s="49">
        <v>320</v>
      </c>
      <c r="D97" s="5">
        <f t="shared" si="23"/>
        <v>0</v>
      </c>
      <c r="E97" s="2">
        <f>'гос.зад на 2022 год '!E206</f>
        <v>0</v>
      </c>
      <c r="F97" s="2"/>
    </row>
    <row r="98" spans="1:6" ht="75" x14ac:dyDescent="0.25">
      <c r="A98" s="48" t="s">
        <v>60</v>
      </c>
      <c r="B98" s="49" t="s">
        <v>5</v>
      </c>
      <c r="C98" s="49">
        <v>340</v>
      </c>
      <c r="D98" s="5">
        <f t="shared" si="23"/>
        <v>9915003.4399999995</v>
      </c>
      <c r="E98" s="2">
        <f>E100+E101+E102+E103+E104+E105+E106+E107</f>
        <v>9915003.4399999995</v>
      </c>
      <c r="F98" s="2">
        <f>F100+F101+F102+F103+F104+F105+F107</f>
        <v>0</v>
      </c>
    </row>
    <row r="99" spans="1:6" ht="18.75" x14ac:dyDescent="0.25">
      <c r="A99" s="48" t="s">
        <v>6</v>
      </c>
      <c r="B99" s="49"/>
      <c r="C99" s="49"/>
      <c r="D99" s="5"/>
      <c r="E99" s="2"/>
      <c r="F99" s="2"/>
    </row>
    <row r="100" spans="1:6" ht="131.25" x14ac:dyDescent="0.25">
      <c r="A100" s="48" t="s">
        <v>37</v>
      </c>
      <c r="B100" s="49">
        <v>244</v>
      </c>
      <c r="C100" s="49">
        <v>341</v>
      </c>
      <c r="D100" s="5">
        <f t="shared" ref="D100:D107" si="24">E100+F100</f>
        <v>0</v>
      </c>
      <c r="E100" s="2">
        <f>'гос.зад на 2022 год '!E209</f>
        <v>0</v>
      </c>
      <c r="F100" s="2"/>
    </row>
    <row r="101" spans="1:6" ht="56.25" x14ac:dyDescent="0.25">
      <c r="A101" s="48" t="s">
        <v>38</v>
      </c>
      <c r="B101" s="49">
        <v>244</v>
      </c>
      <c r="C101" s="49">
        <v>342</v>
      </c>
      <c r="D101" s="5">
        <f t="shared" si="24"/>
        <v>0</v>
      </c>
      <c r="E101" s="2">
        <f>'гос.зад на 2022 год '!E210</f>
        <v>0</v>
      </c>
      <c r="F101" s="2"/>
    </row>
    <row r="102" spans="1:6" ht="75" x14ac:dyDescent="0.25">
      <c r="A102" s="48" t="s">
        <v>39</v>
      </c>
      <c r="B102" s="49">
        <v>244</v>
      </c>
      <c r="C102" s="49">
        <v>343</v>
      </c>
      <c r="D102" s="5">
        <f t="shared" si="24"/>
        <v>89594.609999999986</v>
      </c>
      <c r="E102" s="2">
        <f>'гос.зад на 2022 год '!E211</f>
        <v>89594.609999999986</v>
      </c>
      <c r="F102" s="2"/>
    </row>
    <row r="103" spans="1:6" ht="75" x14ac:dyDescent="0.25">
      <c r="A103" s="48" t="s">
        <v>40</v>
      </c>
      <c r="B103" s="49">
        <v>244</v>
      </c>
      <c r="C103" s="49">
        <v>344</v>
      </c>
      <c r="D103" s="5">
        <f t="shared" si="24"/>
        <v>224794.3</v>
      </c>
      <c r="E103" s="2">
        <f>'гос.зад на 2022 год '!E212</f>
        <v>224794.3</v>
      </c>
      <c r="F103" s="2"/>
    </row>
    <row r="104" spans="1:6" ht="56.25" x14ac:dyDescent="0.25">
      <c r="A104" s="48" t="s">
        <v>41</v>
      </c>
      <c r="B104" s="49">
        <v>244</v>
      </c>
      <c r="C104" s="49">
        <v>345</v>
      </c>
      <c r="D104" s="5">
        <f t="shared" si="24"/>
        <v>844795</v>
      </c>
      <c r="E104" s="2">
        <f>'гос.зад на 2022 год '!E213</f>
        <v>844795</v>
      </c>
      <c r="F104" s="2"/>
    </row>
    <row r="105" spans="1:6" ht="75" x14ac:dyDescent="0.25">
      <c r="A105" s="48" t="s">
        <v>42</v>
      </c>
      <c r="B105" s="49">
        <v>244</v>
      </c>
      <c r="C105" s="49">
        <v>346</v>
      </c>
      <c r="D105" s="5">
        <f t="shared" si="24"/>
        <v>8687119.5299999993</v>
      </c>
      <c r="E105" s="2">
        <f>'гос.зад на 2022 год '!E214</f>
        <v>8687119.5299999993</v>
      </c>
      <c r="F105" s="2"/>
    </row>
    <row r="106" spans="1:6" ht="112.5" x14ac:dyDescent="0.25">
      <c r="A106" s="170" t="s">
        <v>347</v>
      </c>
      <c r="B106" s="171">
        <v>244</v>
      </c>
      <c r="C106" s="171">
        <v>347</v>
      </c>
      <c r="D106" s="5">
        <f t="shared" ref="D106" si="25">E106+F106</f>
        <v>0</v>
      </c>
      <c r="E106" s="2">
        <f>'гос.зад на 2022 год '!E215</f>
        <v>0</v>
      </c>
      <c r="F106" s="2"/>
    </row>
    <row r="107" spans="1:6" ht="112.5" x14ac:dyDescent="0.25">
      <c r="A107" s="48" t="s">
        <v>43</v>
      </c>
      <c r="B107" s="49">
        <v>244</v>
      </c>
      <c r="C107" s="49">
        <v>349</v>
      </c>
      <c r="D107" s="5">
        <f t="shared" si="24"/>
        <v>68700</v>
      </c>
      <c r="E107" s="2">
        <f>'гос.зад на 2022 год '!E216</f>
        <v>68700</v>
      </c>
      <c r="F107" s="2"/>
    </row>
    <row r="108" spans="1:6" ht="18.75" x14ac:dyDescent="0.25">
      <c r="A108" s="15"/>
      <c r="B108" s="19"/>
      <c r="C108" s="19"/>
      <c r="D108" s="36"/>
      <c r="E108" s="36"/>
      <c r="F108" s="36"/>
    </row>
    <row r="109" spans="1:6" x14ac:dyDescent="0.25">
      <c r="A109" s="11"/>
    </row>
    <row r="110" spans="1:6" ht="37.5" x14ac:dyDescent="0.3">
      <c r="A110" s="29" t="s">
        <v>52</v>
      </c>
      <c r="B110" s="219"/>
      <c r="C110" s="219"/>
      <c r="D110" s="10"/>
      <c r="E110" s="219" t="s">
        <v>465</v>
      </c>
      <c r="F110" s="219"/>
    </row>
    <row r="111" spans="1:6" ht="18.75" x14ac:dyDescent="0.3">
      <c r="A111" s="29"/>
      <c r="B111" s="218" t="s">
        <v>53</v>
      </c>
      <c r="C111" s="218"/>
      <c r="D111" s="10"/>
      <c r="E111" s="218" t="s">
        <v>54</v>
      </c>
      <c r="F111" s="218"/>
    </row>
    <row r="112" spans="1:6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19"/>
      <c r="C113" s="219"/>
      <c r="D113" s="10"/>
      <c r="E113" s="219" t="s">
        <v>341</v>
      </c>
      <c r="F113" s="219"/>
    </row>
    <row r="114" spans="1:6" ht="18.75" x14ac:dyDescent="0.3">
      <c r="A114" s="29"/>
      <c r="B114" s="218" t="s">
        <v>53</v>
      </c>
      <c r="C114" s="218"/>
      <c r="D114" s="10"/>
      <c r="E114" s="218" t="s">
        <v>54</v>
      </c>
      <c r="F114" s="218"/>
    </row>
    <row r="115" spans="1:6" ht="18.75" x14ac:dyDescent="0.3">
      <c r="A115" s="29"/>
      <c r="B115" s="116"/>
      <c r="C115" s="116"/>
      <c r="D115" s="10"/>
      <c r="E115" s="116"/>
      <c r="F115" s="116"/>
    </row>
    <row r="116" spans="1:6" ht="18.75" x14ac:dyDescent="0.3">
      <c r="A116" s="29" t="s">
        <v>56</v>
      </c>
      <c r="B116" s="219"/>
      <c r="C116" s="219"/>
      <c r="D116" s="10"/>
      <c r="E116" s="219" t="s">
        <v>341</v>
      </c>
      <c r="F116" s="219"/>
    </row>
    <row r="117" spans="1:6" ht="18.75" x14ac:dyDescent="0.3">
      <c r="A117" s="29"/>
      <c r="B117" s="218" t="s">
        <v>53</v>
      </c>
      <c r="C117" s="218"/>
      <c r="D117" s="10"/>
      <c r="E117" s="218" t="s">
        <v>54</v>
      </c>
      <c r="F117" s="218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17" t="s">
        <v>44</v>
      </c>
      <c r="B119" s="217"/>
      <c r="C119" s="10"/>
      <c r="D119" s="10"/>
      <c r="E119" s="10"/>
      <c r="F119" s="10"/>
    </row>
  </sheetData>
  <mergeCells count="27">
    <mergeCell ref="A12:F12"/>
    <mergeCell ref="E5:F5"/>
    <mergeCell ref="B5:B7"/>
    <mergeCell ref="A1:F1"/>
    <mergeCell ref="A2:F2"/>
    <mergeCell ref="A5:A7"/>
    <mergeCell ref="C5:C7"/>
    <mergeCell ref="D5:D7"/>
    <mergeCell ref="E6:F6"/>
    <mergeCell ref="A60:F60"/>
    <mergeCell ref="A83:A84"/>
    <mergeCell ref="A86:A87"/>
    <mergeCell ref="A35:A36"/>
    <mergeCell ref="A38:A39"/>
    <mergeCell ref="B110:C110"/>
    <mergeCell ref="E110:F110"/>
    <mergeCell ref="B111:C111"/>
    <mergeCell ref="E111:F111"/>
    <mergeCell ref="B113:C113"/>
    <mergeCell ref="E113:F113"/>
    <mergeCell ref="A119:B119"/>
    <mergeCell ref="B114:C114"/>
    <mergeCell ref="E114:F114"/>
    <mergeCell ref="B116:C116"/>
    <mergeCell ref="E116:F116"/>
    <mergeCell ref="B117:C117"/>
    <mergeCell ref="E117:F117"/>
  </mergeCells>
  <pageMargins left="1.3779527559055118" right="0.39370078740157483" top="0.98425196850393704" bottom="0.78740157480314965" header="0.31496062992125984" footer="0.31496062992125984"/>
  <pageSetup paperSize="9" scale="65" firstPageNumber="12" orientation="portrait" useFirstPageNumber="1" r:id="rId1"/>
  <rowBreaks count="5" manualBreakCount="5">
    <brk id="26" max="5" man="1"/>
    <brk id="49" max="16383" man="1"/>
    <brk id="67" max="16383" man="1"/>
    <brk id="89" max="16383" man="1"/>
    <brk id="10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5"/>
  <sheetViews>
    <sheetView zoomScaleNormal="100" workbookViewId="0">
      <selection activeCell="G107" sqref="G107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9" width="8.85546875" style="7" customWidth="1"/>
    <col min="10" max="16384" width="8.85546875" style="7"/>
  </cols>
  <sheetData>
    <row r="1" spans="1:7" ht="18.75" x14ac:dyDescent="0.25">
      <c r="A1" s="6"/>
      <c r="E1" s="312"/>
      <c r="F1" s="312"/>
      <c r="G1" s="312"/>
    </row>
    <row r="2" spans="1:7" ht="40.15" customHeight="1" x14ac:dyDescent="0.25">
      <c r="A2" s="284" t="s">
        <v>256</v>
      </c>
      <c r="B2" s="284"/>
      <c r="C2" s="284"/>
      <c r="D2" s="284"/>
      <c r="E2" s="284"/>
      <c r="F2" s="284"/>
      <c r="G2" s="284"/>
    </row>
    <row r="3" spans="1:7" ht="18.75" x14ac:dyDescent="0.25">
      <c r="A3" s="59"/>
      <c r="B3" s="59"/>
      <c r="C3" s="59"/>
      <c r="D3" s="59"/>
      <c r="E3" s="59"/>
      <c r="F3" s="59"/>
      <c r="G3" s="59"/>
    </row>
    <row r="4" spans="1:7" ht="35.450000000000003" customHeight="1" x14ac:dyDescent="0.25">
      <c r="A4" s="284" t="s">
        <v>181</v>
      </c>
      <c r="B4" s="284"/>
      <c r="C4" s="284"/>
      <c r="D4" s="284"/>
      <c r="E4" s="284"/>
      <c r="F4" s="284"/>
      <c r="G4" s="284"/>
    </row>
    <row r="5" spans="1:7" ht="35.450000000000003" customHeight="1" x14ac:dyDescent="0.25">
      <c r="A5" s="284" t="s">
        <v>168</v>
      </c>
      <c r="B5" s="284"/>
      <c r="C5" s="284"/>
      <c r="D5" s="284"/>
      <c r="E5" s="284"/>
      <c r="F5" s="284"/>
      <c r="G5" s="284"/>
    </row>
    <row r="6" spans="1:7" ht="18.75" x14ac:dyDescent="0.25">
      <c r="A6" s="55"/>
    </row>
    <row r="7" spans="1:7" ht="18.75" x14ac:dyDescent="0.3">
      <c r="A7" s="9" t="s">
        <v>255</v>
      </c>
      <c r="B7" s="10">
        <v>120</v>
      </c>
    </row>
    <row r="8" spans="1:7" x14ac:dyDescent="0.25">
      <c r="A8" s="11"/>
    </row>
    <row r="9" spans="1:7" ht="79.900000000000006" customHeight="1" x14ac:dyDescent="0.25">
      <c r="A9" s="58" t="s">
        <v>86</v>
      </c>
      <c r="B9" s="270" t="s">
        <v>166</v>
      </c>
      <c r="C9" s="270"/>
      <c r="D9" s="270" t="s">
        <v>167</v>
      </c>
      <c r="E9" s="270"/>
      <c r="F9" s="270" t="s">
        <v>94</v>
      </c>
      <c r="G9" s="270"/>
    </row>
    <row r="10" spans="1:7" ht="18.75" x14ac:dyDescent="0.25">
      <c r="A10" s="58">
        <v>1</v>
      </c>
      <c r="B10" s="270">
        <v>2</v>
      </c>
      <c r="C10" s="270"/>
      <c r="D10" s="270">
        <v>3</v>
      </c>
      <c r="E10" s="270"/>
      <c r="F10" s="270">
        <v>4</v>
      </c>
      <c r="G10" s="270"/>
    </row>
    <row r="11" spans="1:7" ht="37.5" x14ac:dyDescent="0.25">
      <c r="A11" s="13" t="s">
        <v>169</v>
      </c>
      <c r="B11" s="270"/>
      <c r="C11" s="270"/>
      <c r="D11" s="270"/>
      <c r="E11" s="270"/>
      <c r="F11" s="273">
        <f>B11*D11</f>
        <v>0</v>
      </c>
      <c r="G11" s="273"/>
    </row>
    <row r="12" spans="1:7" ht="18.75" x14ac:dyDescent="0.25">
      <c r="A12" s="13" t="s">
        <v>120</v>
      </c>
      <c r="B12" s="270"/>
      <c r="C12" s="270"/>
      <c r="D12" s="270"/>
      <c r="E12" s="270"/>
      <c r="F12" s="270"/>
      <c r="G12" s="270"/>
    </row>
    <row r="13" spans="1:7" ht="18.75" x14ac:dyDescent="0.25">
      <c r="A13" s="55"/>
    </row>
    <row r="14" spans="1:7" ht="43.9" customHeight="1" x14ac:dyDescent="0.25">
      <c r="A14" s="284" t="s">
        <v>174</v>
      </c>
      <c r="B14" s="284"/>
      <c r="C14" s="284"/>
      <c r="D14" s="284"/>
      <c r="E14" s="284"/>
      <c r="F14" s="284"/>
      <c r="G14" s="284"/>
    </row>
    <row r="15" spans="1:7" ht="18.75" x14ac:dyDescent="0.25">
      <c r="A15" s="59"/>
      <c r="B15" s="59"/>
      <c r="C15" s="59"/>
      <c r="D15" s="59"/>
      <c r="E15" s="59"/>
      <c r="F15" s="59"/>
      <c r="G15" s="59"/>
    </row>
    <row r="16" spans="1:7" ht="18.75" x14ac:dyDescent="0.3">
      <c r="A16" s="9" t="s">
        <v>255</v>
      </c>
      <c r="B16" s="10">
        <v>130</v>
      </c>
    </row>
    <row r="17" spans="1:7" x14ac:dyDescent="0.25">
      <c r="A17" s="11"/>
    </row>
    <row r="18" spans="1:7" ht="55.9" customHeight="1" x14ac:dyDescent="0.25">
      <c r="A18" s="58" t="s">
        <v>86</v>
      </c>
      <c r="B18" s="270" t="s">
        <v>172</v>
      </c>
      <c r="C18" s="270"/>
      <c r="D18" s="270" t="s">
        <v>173</v>
      </c>
      <c r="E18" s="270"/>
      <c r="F18" s="270" t="s">
        <v>270</v>
      </c>
      <c r="G18" s="270"/>
    </row>
    <row r="19" spans="1:7" ht="18.75" x14ac:dyDescent="0.25">
      <c r="A19" s="58">
        <v>1</v>
      </c>
      <c r="B19" s="270">
        <v>2</v>
      </c>
      <c r="C19" s="270"/>
      <c r="D19" s="270">
        <v>3</v>
      </c>
      <c r="E19" s="270"/>
      <c r="F19" s="270">
        <v>4</v>
      </c>
      <c r="G19" s="270"/>
    </row>
    <row r="20" spans="1:7" ht="112.5" x14ac:dyDescent="0.25">
      <c r="A20" s="13" t="s">
        <v>170</v>
      </c>
      <c r="B20" s="270" t="s">
        <v>117</v>
      </c>
      <c r="C20" s="270"/>
      <c r="D20" s="270" t="s">
        <v>117</v>
      </c>
      <c r="E20" s="270"/>
      <c r="F20" s="273">
        <v>0</v>
      </c>
      <c r="G20" s="273"/>
    </row>
    <row r="21" spans="1:7" ht="18.75" x14ac:dyDescent="0.25">
      <c r="A21" s="55"/>
    </row>
    <row r="22" spans="1:7" ht="18.75" x14ac:dyDescent="0.3">
      <c r="A22" s="9" t="s">
        <v>255</v>
      </c>
      <c r="B22" s="10">
        <v>130</v>
      </c>
    </row>
    <row r="23" spans="1:7" x14ac:dyDescent="0.25">
      <c r="A23" s="11"/>
    </row>
    <row r="24" spans="1:7" ht="41.45" customHeight="1" x14ac:dyDescent="0.25">
      <c r="A24" s="58" t="s">
        <v>86</v>
      </c>
      <c r="B24" s="270" t="s">
        <v>172</v>
      </c>
      <c r="C24" s="270"/>
      <c r="D24" s="270" t="s">
        <v>173</v>
      </c>
      <c r="E24" s="270"/>
      <c r="F24" s="270" t="s">
        <v>94</v>
      </c>
      <c r="G24" s="270"/>
    </row>
    <row r="25" spans="1:7" ht="18.75" x14ac:dyDescent="0.25">
      <c r="A25" s="58">
        <v>1</v>
      </c>
      <c r="B25" s="270">
        <v>2</v>
      </c>
      <c r="C25" s="270"/>
      <c r="D25" s="270">
        <v>3</v>
      </c>
      <c r="E25" s="270"/>
      <c r="F25" s="270">
        <v>4</v>
      </c>
      <c r="G25" s="270"/>
    </row>
    <row r="26" spans="1:7" ht="75" x14ac:dyDescent="0.25">
      <c r="A26" s="13" t="s">
        <v>164</v>
      </c>
      <c r="B26" s="270"/>
      <c r="C26" s="270"/>
      <c r="D26" s="270"/>
      <c r="E26" s="270"/>
      <c r="F26" s="273">
        <f>B26*D26</f>
        <v>0</v>
      </c>
      <c r="G26" s="273"/>
    </row>
    <row r="27" spans="1:7" ht="18.75" x14ac:dyDescent="0.25">
      <c r="A27" s="55"/>
    </row>
    <row r="28" spans="1:7" ht="18.75" x14ac:dyDescent="0.3">
      <c r="A28" s="9" t="s">
        <v>255</v>
      </c>
      <c r="B28" s="10">
        <v>150</v>
      </c>
    </row>
    <row r="29" spans="1:7" x14ac:dyDescent="0.25">
      <c r="A29" s="11"/>
    </row>
    <row r="30" spans="1:7" ht="42.6" customHeight="1" x14ac:dyDescent="0.25">
      <c r="A30" s="58" t="s">
        <v>86</v>
      </c>
      <c r="B30" s="270" t="s">
        <v>172</v>
      </c>
      <c r="C30" s="270"/>
      <c r="D30" s="270" t="s">
        <v>173</v>
      </c>
      <c r="E30" s="270"/>
      <c r="F30" s="270" t="s">
        <v>183</v>
      </c>
      <c r="G30" s="270"/>
    </row>
    <row r="31" spans="1:7" ht="18.75" x14ac:dyDescent="0.25">
      <c r="A31" s="58">
        <v>1</v>
      </c>
      <c r="B31" s="270">
        <v>2</v>
      </c>
      <c r="C31" s="270"/>
      <c r="D31" s="270">
        <v>3</v>
      </c>
      <c r="E31" s="270"/>
      <c r="F31" s="270">
        <v>4</v>
      </c>
      <c r="G31" s="270"/>
    </row>
    <row r="32" spans="1:7" ht="93.75" x14ac:dyDescent="0.25">
      <c r="A32" s="13" t="s">
        <v>271</v>
      </c>
      <c r="B32" s="270" t="s">
        <v>117</v>
      </c>
      <c r="C32" s="270"/>
      <c r="D32" s="270" t="s">
        <v>117</v>
      </c>
      <c r="E32" s="270"/>
      <c r="F32" s="273">
        <v>0</v>
      </c>
      <c r="G32" s="273"/>
    </row>
    <row r="33" spans="1:7" ht="18.75" x14ac:dyDescent="0.25">
      <c r="A33" s="55"/>
    </row>
    <row r="34" spans="1:7" ht="18.75" x14ac:dyDescent="0.25">
      <c r="A34" s="284" t="s">
        <v>176</v>
      </c>
      <c r="B34" s="284"/>
      <c r="C34" s="284"/>
      <c r="D34" s="284"/>
      <c r="E34" s="284"/>
      <c r="F34" s="284"/>
      <c r="G34" s="284"/>
    </row>
    <row r="35" spans="1:7" ht="18.75" x14ac:dyDescent="0.25">
      <c r="A35" s="5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0" t="s">
        <v>86</v>
      </c>
      <c r="B38" s="277"/>
      <c r="C38" s="251"/>
      <c r="D38" s="250" t="s">
        <v>165</v>
      </c>
      <c r="E38" s="277"/>
      <c r="F38" s="277"/>
      <c r="G38" s="251"/>
    </row>
    <row r="39" spans="1:7" ht="18.75" x14ac:dyDescent="0.25">
      <c r="A39" s="250">
        <v>1</v>
      </c>
      <c r="B39" s="277"/>
      <c r="C39" s="251"/>
      <c r="D39" s="250">
        <v>3</v>
      </c>
      <c r="E39" s="277"/>
      <c r="F39" s="277"/>
      <c r="G39" s="251"/>
    </row>
    <row r="40" spans="1:7" ht="18.75" x14ac:dyDescent="0.25">
      <c r="A40" s="248" t="s">
        <v>175</v>
      </c>
      <c r="B40" s="260"/>
      <c r="C40" s="249"/>
      <c r="D40" s="244">
        <v>0</v>
      </c>
      <c r="E40" s="305"/>
      <c r="F40" s="305"/>
      <c r="G40" s="245"/>
    </row>
    <row r="41" spans="1:7" ht="18.75" x14ac:dyDescent="0.25">
      <c r="A41" s="55"/>
    </row>
    <row r="42" spans="1:7" ht="18.75" x14ac:dyDescent="0.25">
      <c r="A42" s="284" t="s">
        <v>177</v>
      </c>
      <c r="B42" s="284"/>
      <c r="C42" s="284"/>
      <c r="D42" s="284"/>
      <c r="E42" s="284"/>
      <c r="F42" s="284"/>
      <c r="G42" s="284"/>
    </row>
    <row r="43" spans="1:7" ht="18.75" x14ac:dyDescent="0.25">
      <c r="A43" s="59"/>
      <c r="B43" s="59"/>
      <c r="C43" s="59"/>
      <c r="D43" s="59"/>
      <c r="E43" s="59"/>
      <c r="F43" s="59"/>
      <c r="G43" s="59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58" t="s">
        <v>86</v>
      </c>
      <c r="B46" s="270" t="s">
        <v>172</v>
      </c>
      <c r="C46" s="270"/>
      <c r="D46" s="270" t="s">
        <v>173</v>
      </c>
      <c r="E46" s="270"/>
      <c r="F46" s="270" t="s">
        <v>183</v>
      </c>
      <c r="G46" s="270"/>
    </row>
    <row r="47" spans="1:7" ht="18.75" x14ac:dyDescent="0.25">
      <c r="A47" s="58">
        <v>1</v>
      </c>
      <c r="B47" s="270">
        <v>2</v>
      </c>
      <c r="C47" s="270"/>
      <c r="D47" s="270">
        <v>3</v>
      </c>
      <c r="E47" s="270"/>
      <c r="F47" s="270">
        <v>4</v>
      </c>
      <c r="G47" s="270"/>
    </row>
    <row r="48" spans="1:7" ht="37.5" x14ac:dyDescent="0.25">
      <c r="A48" s="13" t="s">
        <v>272</v>
      </c>
      <c r="B48" s="270" t="s">
        <v>117</v>
      </c>
      <c r="C48" s="270"/>
      <c r="D48" s="270" t="s">
        <v>117</v>
      </c>
      <c r="E48" s="270"/>
      <c r="F48" s="273">
        <v>0</v>
      </c>
      <c r="G48" s="273"/>
    </row>
    <row r="49" spans="1:7" ht="18.75" x14ac:dyDescent="0.25">
      <c r="A49" s="55"/>
    </row>
    <row r="50" spans="1:7" ht="18.75" x14ac:dyDescent="0.25">
      <c r="A50" s="284" t="s">
        <v>187</v>
      </c>
      <c r="B50" s="284"/>
      <c r="C50" s="284"/>
      <c r="D50" s="284"/>
      <c r="E50" s="284"/>
      <c r="F50" s="284"/>
      <c r="G50" s="284"/>
    </row>
    <row r="51" spans="1:7" ht="18.75" x14ac:dyDescent="0.25">
      <c r="A51" s="5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58" t="s">
        <v>86</v>
      </c>
      <c r="B54" s="270" t="s">
        <v>172</v>
      </c>
      <c r="C54" s="270"/>
      <c r="D54" s="270" t="s">
        <v>173</v>
      </c>
      <c r="E54" s="270"/>
      <c r="F54" s="250" t="s">
        <v>171</v>
      </c>
      <c r="G54" s="251"/>
    </row>
    <row r="55" spans="1:7" ht="18.75" x14ac:dyDescent="0.25">
      <c r="A55" s="58">
        <v>1</v>
      </c>
      <c r="B55" s="270">
        <v>2</v>
      </c>
      <c r="C55" s="270"/>
      <c r="D55" s="270">
        <v>3</v>
      </c>
      <c r="E55" s="270"/>
      <c r="F55" s="270">
        <v>4</v>
      </c>
      <c r="G55" s="270"/>
    </row>
    <row r="56" spans="1:7" ht="58.9" customHeight="1" x14ac:dyDescent="0.25">
      <c r="A56" s="13" t="s">
        <v>184</v>
      </c>
      <c r="B56" s="270" t="s">
        <v>117</v>
      </c>
      <c r="C56" s="270"/>
      <c r="D56" s="270" t="s">
        <v>117</v>
      </c>
      <c r="E56" s="270"/>
      <c r="F56" s="273">
        <v>0</v>
      </c>
      <c r="G56" s="273"/>
    </row>
    <row r="57" spans="1:7" ht="18.75" x14ac:dyDescent="0.25">
      <c r="A57" s="55"/>
    </row>
    <row r="58" spans="1:7" ht="18.75" x14ac:dyDescent="0.25">
      <c r="A58" s="284" t="s">
        <v>178</v>
      </c>
      <c r="B58" s="284"/>
      <c r="C58" s="284"/>
      <c r="D58" s="284"/>
      <c r="E58" s="284"/>
      <c r="F58" s="284"/>
      <c r="G58" s="284"/>
    </row>
    <row r="59" spans="1:7" ht="18.75" x14ac:dyDescent="0.25">
      <c r="A59" s="5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58" t="s">
        <v>86</v>
      </c>
      <c r="B62" s="270" t="s">
        <v>142</v>
      </c>
      <c r="C62" s="270"/>
      <c r="D62" s="270" t="s">
        <v>182</v>
      </c>
      <c r="E62" s="270"/>
      <c r="F62" s="270" t="s">
        <v>94</v>
      </c>
      <c r="G62" s="270"/>
    </row>
    <row r="63" spans="1:7" ht="18.75" x14ac:dyDescent="0.25">
      <c r="A63" s="58">
        <v>1</v>
      </c>
      <c r="B63" s="270">
        <v>2</v>
      </c>
      <c r="C63" s="270"/>
      <c r="D63" s="270">
        <v>3</v>
      </c>
      <c r="E63" s="270"/>
      <c r="F63" s="270">
        <v>4</v>
      </c>
      <c r="G63" s="270"/>
    </row>
    <row r="64" spans="1:7" ht="56.25" x14ac:dyDescent="0.25">
      <c r="A64" s="13" t="s">
        <v>179</v>
      </c>
      <c r="B64" s="270" t="s">
        <v>117</v>
      </c>
      <c r="C64" s="270"/>
      <c r="D64" s="270" t="s">
        <v>117</v>
      </c>
      <c r="E64" s="270"/>
      <c r="F64" s="273">
        <v>0</v>
      </c>
      <c r="G64" s="273"/>
    </row>
    <row r="65" spans="1:7" ht="18.75" x14ac:dyDescent="0.25">
      <c r="A65" s="5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58" t="s">
        <v>86</v>
      </c>
      <c r="B68" s="270" t="s">
        <v>142</v>
      </c>
      <c r="C68" s="270"/>
      <c r="D68" s="270" t="s">
        <v>182</v>
      </c>
      <c r="E68" s="270"/>
      <c r="F68" s="270" t="s">
        <v>94</v>
      </c>
      <c r="G68" s="270"/>
    </row>
    <row r="69" spans="1:7" ht="18.75" x14ac:dyDescent="0.25">
      <c r="A69" s="58">
        <v>1</v>
      </c>
      <c r="B69" s="270">
        <v>2</v>
      </c>
      <c r="C69" s="270"/>
      <c r="D69" s="270">
        <v>3</v>
      </c>
      <c r="E69" s="270"/>
      <c r="F69" s="270">
        <v>4</v>
      </c>
      <c r="G69" s="270"/>
    </row>
    <row r="70" spans="1:7" ht="56.25" x14ac:dyDescent="0.25">
      <c r="A70" s="13" t="s">
        <v>179</v>
      </c>
      <c r="B70" s="270" t="s">
        <v>117</v>
      </c>
      <c r="C70" s="270"/>
      <c r="D70" s="270" t="s">
        <v>117</v>
      </c>
      <c r="E70" s="270"/>
      <c r="F70" s="273">
        <v>0</v>
      </c>
      <c r="G70" s="273"/>
    </row>
    <row r="71" spans="1:7" ht="18.75" x14ac:dyDescent="0.25">
      <c r="A71" s="15"/>
      <c r="B71" s="19"/>
      <c r="C71" s="19"/>
      <c r="D71" s="19"/>
      <c r="E71" s="19"/>
      <c r="F71" s="19"/>
      <c r="G71" s="19"/>
    </row>
    <row r="72" spans="1:7" ht="18.75" x14ac:dyDescent="0.25">
      <c r="A72" s="284" t="s">
        <v>254</v>
      </c>
      <c r="B72" s="284"/>
      <c r="C72" s="284"/>
      <c r="D72" s="284"/>
      <c r="E72" s="284"/>
      <c r="F72" s="284"/>
      <c r="G72" s="284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38.450000000000003" customHeight="1" x14ac:dyDescent="0.25">
      <c r="A76" s="68" t="s">
        <v>86</v>
      </c>
      <c r="B76" s="270" t="s">
        <v>142</v>
      </c>
      <c r="C76" s="270"/>
      <c r="D76" s="270" t="s">
        <v>182</v>
      </c>
      <c r="E76" s="270"/>
      <c r="F76" s="270" t="s">
        <v>94</v>
      </c>
      <c r="G76" s="270"/>
    </row>
    <row r="77" spans="1:7" ht="18.75" x14ac:dyDescent="0.25">
      <c r="A77" s="68">
        <v>1</v>
      </c>
      <c r="B77" s="270">
        <v>2</v>
      </c>
      <c r="C77" s="270"/>
      <c r="D77" s="270">
        <v>3</v>
      </c>
      <c r="E77" s="270"/>
      <c r="F77" s="270">
        <v>4</v>
      </c>
      <c r="G77" s="270"/>
    </row>
    <row r="78" spans="1:7" ht="150" x14ac:dyDescent="0.25">
      <c r="A78" s="13" t="s">
        <v>70</v>
      </c>
      <c r="B78" s="270" t="s">
        <v>117</v>
      </c>
      <c r="C78" s="270"/>
      <c r="D78" s="270" t="s">
        <v>117</v>
      </c>
      <c r="E78" s="270"/>
      <c r="F78" s="273">
        <v>0</v>
      </c>
      <c r="G78" s="273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42" customHeight="1" x14ac:dyDescent="0.25">
      <c r="A82" s="68" t="s">
        <v>86</v>
      </c>
      <c r="B82" s="270" t="s">
        <v>142</v>
      </c>
      <c r="C82" s="270"/>
      <c r="D82" s="270" t="s">
        <v>182</v>
      </c>
      <c r="E82" s="270"/>
      <c r="F82" s="270" t="s">
        <v>94</v>
      </c>
      <c r="G82" s="270"/>
    </row>
    <row r="83" spans="1:7" ht="18.75" x14ac:dyDescent="0.25">
      <c r="A83" s="68">
        <v>1</v>
      </c>
      <c r="B83" s="270">
        <v>2</v>
      </c>
      <c r="C83" s="270"/>
      <c r="D83" s="270">
        <v>3</v>
      </c>
      <c r="E83" s="270"/>
      <c r="F83" s="270">
        <v>4</v>
      </c>
      <c r="G83" s="270"/>
    </row>
    <row r="84" spans="1:7" ht="187.5" x14ac:dyDescent="0.25">
      <c r="A84" s="13" t="s">
        <v>273</v>
      </c>
      <c r="B84" s="270" t="s">
        <v>117</v>
      </c>
      <c r="C84" s="270"/>
      <c r="D84" s="270" t="s">
        <v>117</v>
      </c>
      <c r="E84" s="270"/>
      <c r="F84" s="273">
        <f>'платные на 2022 год '!D24</f>
        <v>0</v>
      </c>
      <c r="G84" s="273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4" t="s">
        <v>260</v>
      </c>
      <c r="B86" s="284"/>
      <c r="C86" s="284"/>
      <c r="D86" s="284"/>
      <c r="E86" s="284"/>
      <c r="F86" s="284"/>
      <c r="G86" s="284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39" customHeight="1" x14ac:dyDescent="0.25">
      <c r="A90" s="86" t="s">
        <v>86</v>
      </c>
      <c r="B90" s="270" t="s">
        <v>142</v>
      </c>
      <c r="C90" s="270"/>
      <c r="D90" s="270" t="s">
        <v>182</v>
      </c>
      <c r="E90" s="270"/>
      <c r="F90" s="270" t="s">
        <v>94</v>
      </c>
      <c r="G90" s="270"/>
    </row>
    <row r="91" spans="1:7" ht="18.75" x14ac:dyDescent="0.25">
      <c r="A91" s="86">
        <v>1</v>
      </c>
      <c r="B91" s="270">
        <v>2</v>
      </c>
      <c r="C91" s="270"/>
      <c r="D91" s="270">
        <v>3</v>
      </c>
      <c r="E91" s="270"/>
      <c r="F91" s="270">
        <v>4</v>
      </c>
      <c r="G91" s="270"/>
    </row>
    <row r="92" spans="1:7" ht="37.5" x14ac:dyDescent="0.25">
      <c r="A92" s="13" t="s">
        <v>194</v>
      </c>
      <c r="B92" s="270" t="s">
        <v>117</v>
      </c>
      <c r="C92" s="270"/>
      <c r="D92" s="270" t="s">
        <v>117</v>
      </c>
      <c r="E92" s="270"/>
      <c r="F92" s="273">
        <f>'гос.зад на 2022 год '!E104</f>
        <v>0</v>
      </c>
      <c r="G92" s="270"/>
    </row>
    <row r="93" spans="1:7" ht="56.25" x14ac:dyDescent="0.25">
      <c r="A93" s="13" t="s">
        <v>195</v>
      </c>
      <c r="B93" s="270" t="s">
        <v>117</v>
      </c>
      <c r="C93" s="270"/>
      <c r="D93" s="270" t="s">
        <v>117</v>
      </c>
      <c r="E93" s="270"/>
      <c r="F93" s="273">
        <f>'гос.зад на 2022 год '!E105</f>
        <v>0</v>
      </c>
      <c r="G93" s="270"/>
    </row>
    <row r="94" spans="1:7" ht="56.25" x14ac:dyDescent="0.25">
      <c r="A94" s="13" t="s">
        <v>196</v>
      </c>
      <c r="B94" s="270" t="s">
        <v>117</v>
      </c>
      <c r="C94" s="270"/>
      <c r="D94" s="270" t="s">
        <v>117</v>
      </c>
      <c r="E94" s="270"/>
      <c r="F94" s="273">
        <f>'гос.зад на 2022 год '!E106</f>
        <v>0</v>
      </c>
      <c r="G94" s="270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4" t="s">
        <v>188</v>
      </c>
      <c r="B96" s="284"/>
      <c r="C96" s="284"/>
      <c r="D96" s="284"/>
      <c r="E96" s="284"/>
      <c r="F96" s="284"/>
      <c r="G96" s="284"/>
    </row>
    <row r="97" spans="1:7" ht="18.75" x14ac:dyDescent="0.25">
      <c r="A97" s="8"/>
    </row>
    <row r="98" spans="1:7" ht="18.75" x14ac:dyDescent="0.25">
      <c r="A98" s="269" t="s">
        <v>189</v>
      </c>
      <c r="B98" s="269"/>
      <c r="C98" s="269"/>
      <c r="D98" s="269"/>
      <c r="E98" s="269"/>
      <c r="F98" s="269"/>
      <c r="G98" s="269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0" t="s">
        <v>76</v>
      </c>
      <c r="B102" s="270" t="s">
        <v>77</v>
      </c>
      <c r="C102" s="270" t="s">
        <v>78</v>
      </c>
      <c r="D102" s="270"/>
      <c r="E102" s="270"/>
      <c r="F102" s="270"/>
      <c r="G102" s="270" t="s">
        <v>79</v>
      </c>
    </row>
    <row r="103" spans="1:7" ht="18.75" x14ac:dyDescent="0.25">
      <c r="A103" s="270"/>
      <c r="B103" s="270"/>
      <c r="C103" s="270" t="s">
        <v>80</v>
      </c>
      <c r="D103" s="270" t="s">
        <v>6</v>
      </c>
      <c r="E103" s="270"/>
      <c r="F103" s="270"/>
      <c r="G103" s="270"/>
    </row>
    <row r="104" spans="1:7" ht="75" x14ac:dyDescent="0.25">
      <c r="A104" s="270"/>
      <c r="B104" s="270"/>
      <c r="C104" s="270"/>
      <c r="D104" s="12" t="s">
        <v>81</v>
      </c>
      <c r="E104" s="12" t="s">
        <v>82</v>
      </c>
      <c r="F104" s="12" t="s">
        <v>83</v>
      </c>
      <c r="G104" s="270"/>
    </row>
    <row r="105" spans="1:7" ht="18.75" x14ac:dyDescent="0.25">
      <c r="A105" s="58">
        <v>1</v>
      </c>
      <c r="B105" s="58">
        <v>2</v>
      </c>
      <c r="C105" s="58">
        <v>3</v>
      </c>
      <c r="D105" s="58">
        <v>4</v>
      </c>
      <c r="E105" s="58">
        <v>4</v>
      </c>
      <c r="F105" s="58">
        <v>5</v>
      </c>
      <c r="G105" s="58">
        <v>7</v>
      </c>
    </row>
    <row r="106" spans="1:7" ht="18.75" x14ac:dyDescent="0.25">
      <c r="A106" s="58"/>
      <c r="B106" s="58"/>
      <c r="C106" s="77"/>
      <c r="D106" s="77"/>
      <c r="E106" s="77"/>
      <c r="F106" s="77"/>
      <c r="G106" s="77"/>
    </row>
    <row r="107" spans="1:7" ht="18.75" x14ac:dyDescent="0.25">
      <c r="A107" s="58" t="s">
        <v>146</v>
      </c>
      <c r="B107" s="58"/>
      <c r="C107" s="77"/>
      <c r="D107" s="77"/>
      <c r="E107" s="77"/>
      <c r="F107" s="77"/>
      <c r="G107" s="77">
        <v>0</v>
      </c>
    </row>
    <row r="108" spans="1:7" ht="18.75" x14ac:dyDescent="0.25">
      <c r="A108" s="8"/>
    </row>
    <row r="109" spans="1:7" ht="18.75" x14ac:dyDescent="0.25">
      <c r="A109" s="269" t="s">
        <v>180</v>
      </c>
      <c r="B109" s="269"/>
      <c r="C109" s="269"/>
      <c r="D109" s="269"/>
      <c r="E109" s="269"/>
      <c r="F109" s="269"/>
      <c r="G109" s="269"/>
    </row>
    <row r="110" spans="1:7" ht="18.75" x14ac:dyDescent="0.25">
      <c r="A110" s="63"/>
      <c r="B110" s="63"/>
      <c r="C110" s="63"/>
      <c r="D110" s="63"/>
      <c r="E110" s="63"/>
      <c r="F110" s="63"/>
      <c r="G110" s="63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72" customHeight="1" x14ac:dyDescent="0.25">
      <c r="A113" s="101" t="s">
        <v>84</v>
      </c>
      <c r="B113" s="270" t="s">
        <v>244</v>
      </c>
      <c r="C113" s="270"/>
      <c r="D113" s="270" t="s">
        <v>185</v>
      </c>
      <c r="E113" s="270"/>
      <c r="F113" s="270" t="s">
        <v>85</v>
      </c>
      <c r="G113" s="270"/>
    </row>
    <row r="114" spans="1:7" ht="18.75" x14ac:dyDescent="0.25">
      <c r="A114" s="58">
        <v>1</v>
      </c>
      <c r="B114" s="270">
        <v>2</v>
      </c>
      <c r="C114" s="270"/>
      <c r="D114" s="270">
        <v>3</v>
      </c>
      <c r="E114" s="270"/>
      <c r="F114" s="270">
        <v>4</v>
      </c>
      <c r="G114" s="270"/>
    </row>
    <row r="115" spans="1:7" ht="18.75" x14ac:dyDescent="0.25">
      <c r="A115" s="102">
        <f>B107</f>
        <v>0</v>
      </c>
      <c r="B115" s="273">
        <v>0</v>
      </c>
      <c r="C115" s="273"/>
      <c r="D115" s="273">
        <f>G107</f>
        <v>0</v>
      </c>
      <c r="E115" s="273"/>
      <c r="F115" s="273">
        <f>B115-D115</f>
        <v>0</v>
      </c>
      <c r="G115" s="273"/>
    </row>
    <row r="116" spans="1:7" ht="18.75" x14ac:dyDescent="0.25">
      <c r="A116" s="8"/>
    </row>
    <row r="117" spans="1:7" ht="51" customHeight="1" x14ac:dyDescent="0.25">
      <c r="A117" s="271" t="s">
        <v>203</v>
      </c>
      <c r="B117" s="271"/>
      <c r="C117" s="271"/>
      <c r="D117" s="271"/>
      <c r="E117" s="271"/>
      <c r="F117" s="271"/>
      <c r="G117" s="271"/>
    </row>
    <row r="118" spans="1:7" ht="18.75" x14ac:dyDescent="0.25">
      <c r="A118" s="9"/>
    </row>
    <row r="119" spans="1:7" ht="18.75" x14ac:dyDescent="0.3">
      <c r="A119" s="9" t="s">
        <v>147</v>
      </c>
      <c r="B119" s="10">
        <v>112</v>
      </c>
    </row>
    <row r="120" spans="1:7" x14ac:dyDescent="0.25">
      <c r="A120" s="11"/>
    </row>
    <row r="121" spans="1:7" ht="77.45" customHeight="1" x14ac:dyDescent="0.25">
      <c r="A121" s="58" t="s">
        <v>86</v>
      </c>
      <c r="B121" s="58" t="s">
        <v>87</v>
      </c>
      <c r="C121" s="270" t="s">
        <v>88</v>
      </c>
      <c r="D121" s="270"/>
      <c r="E121" s="58" t="s">
        <v>89</v>
      </c>
      <c r="F121" s="270" t="s">
        <v>90</v>
      </c>
      <c r="G121" s="270"/>
    </row>
    <row r="122" spans="1:7" ht="18.75" x14ac:dyDescent="0.25">
      <c r="A122" s="58">
        <v>1</v>
      </c>
      <c r="B122" s="58">
        <v>2</v>
      </c>
      <c r="C122" s="270">
        <v>3</v>
      </c>
      <c r="D122" s="270"/>
      <c r="E122" s="58">
        <v>4</v>
      </c>
      <c r="F122" s="270">
        <v>5</v>
      </c>
      <c r="G122" s="270"/>
    </row>
    <row r="123" spans="1:7" ht="18.75" x14ac:dyDescent="0.25">
      <c r="A123" s="13" t="s">
        <v>91</v>
      </c>
      <c r="B123" s="56"/>
      <c r="C123" s="270"/>
      <c r="D123" s="270"/>
      <c r="E123" s="14"/>
      <c r="F123" s="273">
        <f>B123*C123*E123</f>
        <v>0</v>
      </c>
      <c r="G123" s="273"/>
    </row>
    <row r="124" spans="1:7" ht="18.75" x14ac:dyDescent="0.25">
      <c r="A124" s="8"/>
    </row>
    <row r="125" spans="1:7" ht="33" customHeight="1" x14ac:dyDescent="0.25">
      <c r="A125" s="271" t="s">
        <v>227</v>
      </c>
      <c r="B125" s="271"/>
      <c r="C125" s="271"/>
      <c r="D125" s="271"/>
      <c r="E125" s="271"/>
      <c r="F125" s="271"/>
      <c r="G125" s="271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37.5" x14ac:dyDescent="0.25">
      <c r="A129" s="58" t="s">
        <v>86</v>
      </c>
      <c r="B129" s="58" t="s">
        <v>228</v>
      </c>
      <c r="C129" s="250" t="s">
        <v>229</v>
      </c>
      <c r="D129" s="277"/>
      <c r="E129" s="251"/>
      <c r="F129" s="270" t="s">
        <v>94</v>
      </c>
      <c r="G129" s="270"/>
    </row>
    <row r="130" spans="1:7" ht="18.75" x14ac:dyDescent="0.25">
      <c r="A130" s="58">
        <v>1</v>
      </c>
      <c r="B130" s="58">
        <v>2</v>
      </c>
      <c r="C130" s="250">
        <v>3</v>
      </c>
      <c r="D130" s="277"/>
      <c r="E130" s="251"/>
      <c r="F130" s="270">
        <v>4</v>
      </c>
      <c r="G130" s="270"/>
    </row>
    <row r="131" spans="1:7" ht="18.75" x14ac:dyDescent="0.25">
      <c r="A131" s="13"/>
      <c r="B131" s="56"/>
      <c r="C131" s="250"/>
      <c r="D131" s="277"/>
      <c r="E131" s="251"/>
      <c r="F131" s="273">
        <f>B131*C131</f>
        <v>0</v>
      </c>
      <c r="G131" s="273"/>
    </row>
    <row r="132" spans="1:7" ht="18.75" x14ac:dyDescent="0.25">
      <c r="A132" s="15"/>
      <c r="B132" s="16"/>
      <c r="C132" s="19"/>
      <c r="D132" s="19"/>
      <c r="E132" s="20"/>
      <c r="F132" s="19"/>
      <c r="G132" s="19"/>
    </row>
    <row r="133" spans="1:7" ht="38.450000000000003" customHeight="1" x14ac:dyDescent="0.25">
      <c r="A133" s="271" t="s">
        <v>204</v>
      </c>
      <c r="B133" s="271"/>
      <c r="C133" s="271"/>
      <c r="D133" s="271"/>
      <c r="E133" s="271"/>
      <c r="F133" s="271"/>
      <c r="G133" s="271"/>
    </row>
    <row r="134" spans="1:7" ht="18.75" x14ac:dyDescent="0.25">
      <c r="A134" s="9"/>
    </row>
    <row r="135" spans="1:7" ht="18.75" x14ac:dyDescent="0.3">
      <c r="A135" s="9" t="s">
        <v>145</v>
      </c>
      <c r="B135" s="10">
        <v>112</v>
      </c>
    </row>
    <row r="136" spans="1:7" x14ac:dyDescent="0.25">
      <c r="A136" s="11"/>
    </row>
    <row r="137" spans="1:7" ht="75" x14ac:dyDescent="0.25">
      <c r="A137" s="270" t="s">
        <v>86</v>
      </c>
      <c r="B137" s="270"/>
      <c r="C137" s="58" t="s">
        <v>92</v>
      </c>
      <c r="D137" s="270" t="s">
        <v>93</v>
      </c>
      <c r="E137" s="270"/>
      <c r="F137" s="270" t="s">
        <v>94</v>
      </c>
      <c r="G137" s="270"/>
    </row>
    <row r="138" spans="1:7" ht="18.75" x14ac:dyDescent="0.25">
      <c r="A138" s="250">
        <v>1</v>
      </c>
      <c r="B138" s="251"/>
      <c r="C138" s="58">
        <v>2</v>
      </c>
      <c r="D138" s="250">
        <v>3</v>
      </c>
      <c r="E138" s="251"/>
      <c r="F138" s="250">
        <v>4</v>
      </c>
      <c r="G138" s="251"/>
    </row>
    <row r="139" spans="1:7" ht="18.75" x14ac:dyDescent="0.25">
      <c r="A139" s="250"/>
      <c r="B139" s="251"/>
      <c r="C139" s="58"/>
      <c r="D139" s="250"/>
      <c r="E139" s="251"/>
      <c r="F139" s="244">
        <f>C139*D139</f>
        <v>0</v>
      </c>
      <c r="G139" s="245"/>
    </row>
    <row r="140" spans="1:7" ht="18.75" x14ac:dyDescent="0.25">
      <c r="A140" s="8"/>
    </row>
    <row r="141" spans="1:7" ht="36.6" customHeight="1" x14ac:dyDescent="0.25">
      <c r="A141" s="271" t="s">
        <v>205</v>
      </c>
      <c r="B141" s="271"/>
      <c r="C141" s="271"/>
      <c r="D141" s="271"/>
      <c r="E141" s="271"/>
      <c r="F141" s="271"/>
      <c r="G141" s="271"/>
    </row>
    <row r="142" spans="1:7" ht="18.75" x14ac:dyDescent="0.25">
      <c r="A142" s="57"/>
      <c r="B142" s="57"/>
      <c r="C142" s="57"/>
      <c r="D142" s="57"/>
      <c r="E142" s="57"/>
      <c r="F142" s="57"/>
      <c r="G142" s="57"/>
    </row>
    <row r="143" spans="1:7" ht="18.75" x14ac:dyDescent="0.3">
      <c r="A143" s="9" t="s">
        <v>147</v>
      </c>
      <c r="B143" s="10">
        <v>112</v>
      </c>
    </row>
    <row r="144" spans="1:7" x14ac:dyDescent="0.25">
      <c r="A144" s="11"/>
    </row>
    <row r="145" spans="1:7" ht="70.150000000000006" customHeight="1" x14ac:dyDescent="0.25">
      <c r="A145" s="58" t="s">
        <v>86</v>
      </c>
      <c r="B145" s="58" t="s">
        <v>87</v>
      </c>
      <c r="C145" s="270" t="s">
        <v>88</v>
      </c>
      <c r="D145" s="270"/>
      <c r="E145" s="58" t="s">
        <v>89</v>
      </c>
      <c r="F145" s="270" t="s">
        <v>90</v>
      </c>
      <c r="G145" s="270"/>
    </row>
    <row r="146" spans="1:7" ht="18.75" x14ac:dyDescent="0.25">
      <c r="A146" s="58">
        <v>1</v>
      </c>
      <c r="B146" s="58">
        <v>2</v>
      </c>
      <c r="C146" s="270">
        <v>3</v>
      </c>
      <c r="D146" s="270"/>
      <c r="E146" s="58">
        <v>4</v>
      </c>
      <c r="F146" s="270">
        <v>5</v>
      </c>
      <c r="G146" s="270"/>
    </row>
    <row r="147" spans="1:7" ht="37.5" x14ac:dyDescent="0.25">
      <c r="A147" s="13" t="s">
        <v>95</v>
      </c>
      <c r="B147" s="56"/>
      <c r="C147" s="270"/>
      <c r="D147" s="270"/>
      <c r="E147" s="14"/>
      <c r="F147" s="273">
        <f>B147*C147*E147</f>
        <v>0</v>
      </c>
      <c r="G147" s="273"/>
    </row>
    <row r="148" spans="1:7" ht="18.75" x14ac:dyDescent="0.25">
      <c r="A148" s="8"/>
    </row>
    <row r="149" spans="1:7" ht="41.45" customHeight="1" x14ac:dyDescent="0.25">
      <c r="A149" s="271" t="s">
        <v>206</v>
      </c>
      <c r="B149" s="271"/>
      <c r="C149" s="271"/>
      <c r="D149" s="271"/>
      <c r="E149" s="271"/>
      <c r="F149" s="271"/>
      <c r="G149" s="271"/>
    </row>
    <row r="150" spans="1:7" ht="18.75" x14ac:dyDescent="0.25">
      <c r="A150" s="9"/>
    </row>
    <row r="151" spans="1:7" ht="18.75" x14ac:dyDescent="0.3">
      <c r="A151" s="9" t="s">
        <v>145</v>
      </c>
      <c r="B151" s="10">
        <v>113</v>
      </c>
    </row>
    <row r="152" spans="1:7" x14ac:dyDescent="0.25">
      <c r="A152" s="11"/>
    </row>
    <row r="153" spans="1:7" ht="67.900000000000006" customHeight="1" x14ac:dyDescent="0.25">
      <c r="A153" s="58" t="s">
        <v>86</v>
      </c>
      <c r="B153" s="58" t="s">
        <v>96</v>
      </c>
      <c r="C153" s="270" t="s">
        <v>97</v>
      </c>
      <c r="D153" s="270"/>
      <c r="E153" s="58" t="s">
        <v>89</v>
      </c>
      <c r="F153" s="270" t="s">
        <v>90</v>
      </c>
      <c r="G153" s="270"/>
    </row>
    <row r="154" spans="1:7" ht="18.75" x14ac:dyDescent="0.3">
      <c r="A154" s="58">
        <v>1</v>
      </c>
      <c r="B154" s="58">
        <v>2</v>
      </c>
      <c r="C154" s="270">
        <v>3</v>
      </c>
      <c r="D154" s="270"/>
      <c r="E154" s="58">
        <v>4</v>
      </c>
      <c r="F154" s="258">
        <v>5</v>
      </c>
      <c r="G154" s="259"/>
    </row>
    <row r="155" spans="1:7" ht="93.75" x14ac:dyDescent="0.25">
      <c r="A155" s="13" t="s">
        <v>98</v>
      </c>
      <c r="B155" s="77"/>
      <c r="C155" s="273"/>
      <c r="D155" s="273"/>
      <c r="E155" s="79"/>
      <c r="F155" s="294">
        <f>B155*C155*E155</f>
        <v>0</v>
      </c>
      <c r="G155" s="295"/>
    </row>
    <row r="156" spans="1:7" ht="18.75" x14ac:dyDescent="0.25">
      <c r="A156" s="8"/>
    </row>
    <row r="157" spans="1:7" ht="18.75" x14ac:dyDescent="0.3">
      <c r="A157" s="9" t="s">
        <v>145</v>
      </c>
      <c r="B157" s="10">
        <v>119</v>
      </c>
    </row>
    <row r="158" spans="1:7" x14ac:dyDescent="0.25">
      <c r="A158" s="11"/>
    </row>
    <row r="159" spans="1:7" ht="61.9" customHeight="1" x14ac:dyDescent="0.25">
      <c r="A159" s="58" t="s">
        <v>86</v>
      </c>
      <c r="B159" s="58" t="s">
        <v>96</v>
      </c>
      <c r="C159" s="270" t="s">
        <v>97</v>
      </c>
      <c r="D159" s="270"/>
      <c r="E159" s="58" t="s">
        <v>89</v>
      </c>
      <c r="F159" s="270" t="s">
        <v>90</v>
      </c>
      <c r="G159" s="270"/>
    </row>
    <row r="160" spans="1:7" ht="18.75" x14ac:dyDescent="0.3">
      <c r="A160" s="58">
        <v>1</v>
      </c>
      <c r="B160" s="58">
        <v>2</v>
      </c>
      <c r="C160" s="270">
        <v>3</v>
      </c>
      <c r="D160" s="270"/>
      <c r="E160" s="58">
        <v>4</v>
      </c>
      <c r="F160" s="258">
        <v>5</v>
      </c>
      <c r="G160" s="259"/>
    </row>
    <row r="161" spans="1:7" ht="75" x14ac:dyDescent="0.25">
      <c r="A161" s="13" t="s">
        <v>157</v>
      </c>
      <c r="B161" s="77"/>
      <c r="C161" s="273"/>
      <c r="D161" s="273"/>
      <c r="E161" s="79"/>
      <c r="F161" s="294">
        <f>B161*C161*E161</f>
        <v>0</v>
      </c>
      <c r="G161" s="295"/>
    </row>
    <row r="162" spans="1:7" ht="18.75" x14ac:dyDescent="0.25">
      <c r="A162" s="13" t="s">
        <v>120</v>
      </c>
      <c r="B162" s="56"/>
      <c r="C162" s="250"/>
      <c r="D162" s="251"/>
      <c r="E162" s="14"/>
      <c r="F162" s="331"/>
      <c r="G162" s="333"/>
    </row>
    <row r="163" spans="1:7" ht="18.75" x14ac:dyDescent="0.25">
      <c r="A163" s="8"/>
    </row>
    <row r="164" spans="1:7" ht="36" customHeight="1" x14ac:dyDescent="0.25">
      <c r="A164" s="271" t="s">
        <v>207</v>
      </c>
      <c r="B164" s="271"/>
      <c r="C164" s="271"/>
      <c r="D164" s="271"/>
      <c r="E164" s="271"/>
      <c r="F164" s="271"/>
      <c r="G164" s="271"/>
    </row>
    <row r="165" spans="1:7" ht="18.75" x14ac:dyDescent="0.25">
      <c r="A165" s="57"/>
      <c r="B165" s="57"/>
      <c r="C165" s="57"/>
      <c r="D165" s="57"/>
      <c r="E165" s="57"/>
      <c r="F165" s="57"/>
      <c r="G165" s="57"/>
    </row>
    <row r="166" spans="1:7" ht="18.75" x14ac:dyDescent="0.3">
      <c r="A166" s="9" t="s">
        <v>145</v>
      </c>
      <c r="B166" s="10">
        <v>111</v>
      </c>
    </row>
    <row r="167" spans="1:7" x14ac:dyDescent="0.25">
      <c r="A167" s="11"/>
    </row>
    <row r="168" spans="1:7" ht="52.9" customHeight="1" x14ac:dyDescent="0.25">
      <c r="A168" s="58" t="s">
        <v>86</v>
      </c>
      <c r="B168" s="270" t="s">
        <v>99</v>
      </c>
      <c r="C168" s="270"/>
      <c r="D168" s="270" t="s">
        <v>100</v>
      </c>
      <c r="E168" s="270"/>
      <c r="F168" s="270" t="s">
        <v>101</v>
      </c>
      <c r="G168" s="270"/>
    </row>
    <row r="169" spans="1:7" ht="18.75" x14ac:dyDescent="0.3">
      <c r="A169" s="58">
        <v>1</v>
      </c>
      <c r="B169" s="250">
        <v>2</v>
      </c>
      <c r="C169" s="251"/>
      <c r="D169" s="250">
        <v>3</v>
      </c>
      <c r="E169" s="251"/>
      <c r="F169" s="258">
        <v>4</v>
      </c>
      <c r="G169" s="259"/>
    </row>
    <row r="170" spans="1:7" ht="93.75" x14ac:dyDescent="0.25">
      <c r="A170" s="13" t="s">
        <v>102</v>
      </c>
      <c r="B170" s="250"/>
      <c r="C170" s="251"/>
      <c r="D170" s="250"/>
      <c r="E170" s="251"/>
      <c r="F170" s="294">
        <f>B170*D170</f>
        <v>0</v>
      </c>
      <c r="G170" s="295"/>
    </row>
    <row r="171" spans="1:7" ht="18.75" x14ac:dyDescent="0.25">
      <c r="A171" s="15"/>
      <c r="B171" s="16"/>
      <c r="C171" s="16"/>
      <c r="D171" s="16"/>
      <c r="E171" s="16"/>
      <c r="F171" s="17"/>
      <c r="G171" s="17"/>
    </row>
    <row r="172" spans="1:7" ht="18.75" x14ac:dyDescent="0.3">
      <c r="A172" s="9" t="s">
        <v>145</v>
      </c>
      <c r="B172" s="10">
        <v>112</v>
      </c>
    </row>
    <row r="173" spans="1:7" x14ac:dyDescent="0.25">
      <c r="A173" s="11"/>
    </row>
    <row r="174" spans="1:7" ht="78" customHeight="1" x14ac:dyDescent="0.25">
      <c r="A174" s="58" t="s">
        <v>86</v>
      </c>
      <c r="B174" s="58" t="s">
        <v>99</v>
      </c>
      <c r="C174" s="58" t="s">
        <v>103</v>
      </c>
      <c r="D174" s="270" t="s">
        <v>104</v>
      </c>
      <c r="E174" s="270"/>
      <c r="F174" s="270" t="s">
        <v>90</v>
      </c>
      <c r="G174" s="270"/>
    </row>
    <row r="175" spans="1:7" ht="18.75" x14ac:dyDescent="0.25">
      <c r="A175" s="58">
        <v>1</v>
      </c>
      <c r="B175" s="58">
        <v>2</v>
      </c>
      <c r="C175" s="58">
        <v>3</v>
      </c>
      <c r="D175" s="270">
        <v>4</v>
      </c>
      <c r="E175" s="270"/>
      <c r="F175" s="270">
        <v>5</v>
      </c>
      <c r="G175" s="270"/>
    </row>
    <row r="176" spans="1:7" ht="56.25" x14ac:dyDescent="0.25">
      <c r="A176" s="13" t="s">
        <v>105</v>
      </c>
      <c r="B176" s="56"/>
      <c r="C176" s="58"/>
      <c r="D176" s="250"/>
      <c r="E176" s="251"/>
      <c r="F176" s="244">
        <f>B176*C176*D176</f>
        <v>0</v>
      </c>
      <c r="G176" s="245"/>
    </row>
    <row r="177" spans="1:7" ht="18.75" x14ac:dyDescent="0.25">
      <c r="A177" s="8"/>
    </row>
    <row r="178" spans="1:7" ht="31.9" customHeight="1" x14ac:dyDescent="0.25">
      <c r="A178" s="269" t="s">
        <v>208</v>
      </c>
      <c r="B178" s="269"/>
      <c r="C178" s="269"/>
      <c r="D178" s="269"/>
      <c r="E178" s="269"/>
      <c r="F178" s="269"/>
      <c r="G178" s="269"/>
    </row>
    <row r="179" spans="1:7" ht="15.75" x14ac:dyDescent="0.25">
      <c r="A179" s="18"/>
    </row>
    <row r="180" spans="1:7" ht="18.75" x14ac:dyDescent="0.3">
      <c r="A180" s="9" t="s">
        <v>147</v>
      </c>
      <c r="B180" s="10">
        <v>321</v>
      </c>
    </row>
    <row r="181" spans="1:7" x14ac:dyDescent="0.25">
      <c r="A181" s="11"/>
    </row>
    <row r="182" spans="1:7" ht="57.6" customHeight="1" x14ac:dyDescent="0.25">
      <c r="A182" s="58" t="s">
        <v>86</v>
      </c>
      <c r="B182" s="270" t="s">
        <v>106</v>
      </c>
      <c r="C182" s="270"/>
      <c r="D182" s="270" t="s">
        <v>107</v>
      </c>
      <c r="E182" s="270"/>
      <c r="F182" s="270" t="s">
        <v>108</v>
      </c>
      <c r="G182" s="270"/>
    </row>
    <row r="183" spans="1:7" ht="18.75" x14ac:dyDescent="0.25">
      <c r="A183" s="58">
        <v>1</v>
      </c>
      <c r="B183" s="250">
        <v>2</v>
      </c>
      <c r="C183" s="251"/>
      <c r="D183" s="250">
        <v>3</v>
      </c>
      <c r="E183" s="251"/>
      <c r="F183" s="250">
        <v>4</v>
      </c>
      <c r="G183" s="251"/>
    </row>
    <row r="184" spans="1:7" ht="131.25" x14ac:dyDescent="0.25">
      <c r="A184" s="13" t="s">
        <v>27</v>
      </c>
      <c r="B184" s="270"/>
      <c r="C184" s="270"/>
      <c r="D184" s="270"/>
      <c r="E184" s="270"/>
      <c r="F184" s="273">
        <f>B184*D184</f>
        <v>0</v>
      </c>
      <c r="G184" s="273"/>
    </row>
    <row r="185" spans="1:7" ht="18.75" x14ac:dyDescent="0.25">
      <c r="A185" s="13" t="s">
        <v>156</v>
      </c>
      <c r="B185" s="270"/>
      <c r="C185" s="270"/>
      <c r="D185" s="270"/>
      <c r="E185" s="270"/>
      <c r="F185" s="273"/>
      <c r="G185" s="273"/>
    </row>
    <row r="186" spans="1:7" ht="18.75" x14ac:dyDescent="0.25">
      <c r="A186" s="8"/>
    </row>
    <row r="187" spans="1:7" ht="34.9" customHeight="1" x14ac:dyDescent="0.25">
      <c r="A187" s="271" t="s">
        <v>226</v>
      </c>
      <c r="B187" s="271"/>
      <c r="C187" s="271"/>
      <c r="D187" s="271"/>
      <c r="E187" s="271"/>
      <c r="F187" s="271"/>
      <c r="G187" s="271"/>
    </row>
    <row r="188" spans="1:7" ht="18.75" x14ac:dyDescent="0.3">
      <c r="A188" s="9" t="s">
        <v>145</v>
      </c>
      <c r="B188" s="10">
        <v>851</v>
      </c>
    </row>
    <row r="189" spans="1:7" x14ac:dyDescent="0.25">
      <c r="A189" s="11"/>
    </row>
    <row r="190" spans="1:7" ht="73.150000000000006" customHeight="1" x14ac:dyDescent="0.25">
      <c r="A190" s="58" t="s">
        <v>86</v>
      </c>
      <c r="B190" s="270" t="s">
        <v>109</v>
      </c>
      <c r="C190" s="270"/>
      <c r="D190" s="270" t="s">
        <v>110</v>
      </c>
      <c r="E190" s="270"/>
      <c r="F190" s="270" t="s">
        <v>111</v>
      </c>
      <c r="G190" s="270"/>
    </row>
    <row r="191" spans="1:7" ht="18.75" x14ac:dyDescent="0.25">
      <c r="A191" s="58">
        <v>1</v>
      </c>
      <c r="B191" s="250">
        <v>2</v>
      </c>
      <c r="C191" s="251"/>
      <c r="D191" s="278">
        <v>3</v>
      </c>
      <c r="E191" s="279"/>
      <c r="F191" s="278">
        <v>4</v>
      </c>
      <c r="G191" s="279"/>
    </row>
    <row r="192" spans="1:7" ht="37.5" x14ac:dyDescent="0.25">
      <c r="A192" s="13" t="s">
        <v>112</v>
      </c>
      <c r="B192" s="278"/>
      <c r="C192" s="279"/>
      <c r="D192" s="278"/>
      <c r="E192" s="279"/>
      <c r="F192" s="244">
        <f>B192*D192/100</f>
        <v>0</v>
      </c>
      <c r="G192" s="245"/>
    </row>
    <row r="193" spans="1:7" ht="37.5" x14ac:dyDescent="0.25">
      <c r="A193" s="13" t="s">
        <v>113</v>
      </c>
      <c r="B193" s="278"/>
      <c r="C193" s="279"/>
      <c r="D193" s="278"/>
      <c r="E193" s="279"/>
      <c r="F193" s="244">
        <f>B193*D193/100</f>
        <v>0</v>
      </c>
      <c r="G193" s="245"/>
    </row>
    <row r="194" spans="1:7" ht="18.75" x14ac:dyDescent="0.25">
      <c r="A194" s="15"/>
      <c r="B194" s="16"/>
      <c r="C194" s="19"/>
      <c r="D194" s="20"/>
      <c r="E194" s="21"/>
      <c r="F194" s="21"/>
      <c r="G194" s="21"/>
    </row>
    <row r="195" spans="1:7" ht="18.75" x14ac:dyDescent="0.25">
      <c r="A195" s="9" t="s">
        <v>114</v>
      </c>
    </row>
    <row r="196" spans="1:7" x14ac:dyDescent="0.25">
      <c r="A196" s="11"/>
    </row>
    <row r="197" spans="1:7" ht="36.6" customHeight="1" x14ac:dyDescent="0.25">
      <c r="A197" s="58" t="s">
        <v>86</v>
      </c>
      <c r="B197" s="270" t="s">
        <v>109</v>
      </c>
      <c r="C197" s="270"/>
      <c r="D197" s="270" t="s">
        <v>110</v>
      </c>
      <c r="E197" s="270"/>
      <c r="F197" s="270" t="s">
        <v>115</v>
      </c>
      <c r="G197" s="270"/>
    </row>
    <row r="198" spans="1:7" ht="18.75" x14ac:dyDescent="0.3">
      <c r="A198" s="58">
        <v>1</v>
      </c>
      <c r="B198" s="250">
        <v>2</v>
      </c>
      <c r="C198" s="251"/>
      <c r="D198" s="250">
        <v>3</v>
      </c>
      <c r="E198" s="251"/>
      <c r="F198" s="258">
        <v>4</v>
      </c>
      <c r="G198" s="259"/>
    </row>
    <row r="199" spans="1:7" ht="39" customHeight="1" x14ac:dyDescent="0.25">
      <c r="A199" s="13" t="s">
        <v>116</v>
      </c>
      <c r="B199" s="250" t="s">
        <v>117</v>
      </c>
      <c r="C199" s="251"/>
      <c r="D199" s="250" t="s">
        <v>117</v>
      </c>
      <c r="E199" s="251"/>
      <c r="F199" s="294">
        <v>0</v>
      </c>
      <c r="G199" s="295"/>
    </row>
    <row r="200" spans="1:7" ht="18.75" x14ac:dyDescent="0.25">
      <c r="A200" s="13" t="s">
        <v>118</v>
      </c>
      <c r="B200" s="278"/>
      <c r="C200" s="279"/>
      <c r="D200" s="278"/>
      <c r="E200" s="279"/>
      <c r="F200" s="278"/>
      <c r="G200" s="279"/>
    </row>
    <row r="201" spans="1:7" ht="18.75" x14ac:dyDescent="0.25">
      <c r="A201" s="9"/>
    </row>
    <row r="202" spans="1:7" ht="18.75" x14ac:dyDescent="0.25">
      <c r="A202" s="9" t="s">
        <v>119</v>
      </c>
    </row>
    <row r="203" spans="1:7" x14ac:dyDescent="0.25">
      <c r="A203" s="11"/>
    </row>
    <row r="204" spans="1:7" ht="42.6" customHeight="1" x14ac:dyDescent="0.25">
      <c r="A204" s="58" t="s">
        <v>86</v>
      </c>
      <c r="B204" s="270" t="s">
        <v>109</v>
      </c>
      <c r="C204" s="270"/>
      <c r="D204" s="270" t="s">
        <v>110</v>
      </c>
      <c r="E204" s="270"/>
      <c r="F204" s="270" t="s">
        <v>115</v>
      </c>
      <c r="G204" s="270"/>
    </row>
    <row r="205" spans="1:7" ht="18.75" x14ac:dyDescent="0.3">
      <c r="A205" s="58">
        <v>1</v>
      </c>
      <c r="B205" s="250">
        <v>2</v>
      </c>
      <c r="C205" s="251"/>
      <c r="D205" s="250">
        <v>3</v>
      </c>
      <c r="E205" s="251"/>
      <c r="F205" s="258">
        <v>4</v>
      </c>
      <c r="G205" s="259"/>
    </row>
    <row r="206" spans="1:7" ht="49.15" customHeight="1" x14ac:dyDescent="0.25">
      <c r="A206" s="13" t="s">
        <v>155</v>
      </c>
      <c r="B206" s="250" t="s">
        <v>117</v>
      </c>
      <c r="C206" s="251"/>
      <c r="D206" s="250" t="s">
        <v>117</v>
      </c>
      <c r="E206" s="251"/>
      <c r="F206" s="294">
        <v>0</v>
      </c>
      <c r="G206" s="295"/>
    </row>
    <row r="207" spans="1:7" ht="15" customHeight="1" x14ac:dyDescent="0.25">
      <c r="A207" s="13" t="s">
        <v>118</v>
      </c>
      <c r="B207" s="278"/>
      <c r="C207" s="279"/>
      <c r="D207" s="278"/>
      <c r="E207" s="279"/>
      <c r="F207" s="329"/>
      <c r="G207" s="330"/>
    </row>
    <row r="208" spans="1:7" ht="18.75" x14ac:dyDescent="0.25">
      <c r="A208" s="8"/>
    </row>
    <row r="209" spans="1:7" ht="45" customHeight="1" x14ac:dyDescent="0.25">
      <c r="A209" s="271" t="s">
        <v>209</v>
      </c>
      <c r="B209" s="271"/>
      <c r="C209" s="271"/>
      <c r="D209" s="271"/>
      <c r="E209" s="271"/>
      <c r="F209" s="271"/>
      <c r="G209" s="271"/>
    </row>
    <row r="210" spans="1:7" ht="15.75" x14ac:dyDescent="0.25">
      <c r="A210" s="18"/>
    </row>
    <row r="211" spans="1:7" ht="18.75" x14ac:dyDescent="0.3">
      <c r="A211" s="9" t="s">
        <v>145</v>
      </c>
      <c r="B211" s="52" t="s">
        <v>210</v>
      </c>
      <c r="C211" s="51"/>
    </row>
    <row r="212" spans="1:7" x14ac:dyDescent="0.25">
      <c r="A212" s="11"/>
    </row>
    <row r="213" spans="1:7" ht="55.9" customHeight="1" x14ac:dyDescent="0.25">
      <c r="A213" s="58" t="s">
        <v>86</v>
      </c>
      <c r="B213" s="270" t="s">
        <v>106</v>
      </c>
      <c r="C213" s="270"/>
      <c r="D213" s="270" t="s">
        <v>107</v>
      </c>
      <c r="E213" s="270"/>
      <c r="F213" s="270" t="s">
        <v>108</v>
      </c>
      <c r="G213" s="270"/>
    </row>
    <row r="214" spans="1:7" ht="18.75" x14ac:dyDescent="0.25">
      <c r="A214" s="58">
        <v>1</v>
      </c>
      <c r="B214" s="270">
        <v>2</v>
      </c>
      <c r="C214" s="270"/>
      <c r="D214" s="270">
        <v>3</v>
      </c>
      <c r="E214" s="270"/>
      <c r="F214" s="270">
        <v>4</v>
      </c>
      <c r="G214" s="270"/>
    </row>
    <row r="215" spans="1:7" ht="18.75" x14ac:dyDescent="0.25">
      <c r="A215" s="13"/>
      <c r="B215" s="335"/>
      <c r="C215" s="335"/>
      <c r="D215" s="335"/>
      <c r="E215" s="335"/>
      <c r="F215" s="273">
        <f>B215*D215</f>
        <v>0</v>
      </c>
      <c r="G215" s="273"/>
    </row>
    <row r="216" spans="1:7" ht="18.75" x14ac:dyDescent="0.25">
      <c r="A216" s="13"/>
      <c r="B216" s="335"/>
      <c r="C216" s="335"/>
      <c r="D216" s="335"/>
      <c r="E216" s="335"/>
      <c r="F216" s="336"/>
      <c r="G216" s="336"/>
    </row>
    <row r="217" spans="1:7" ht="18" customHeight="1" x14ac:dyDescent="0.25">
      <c r="A217" s="8"/>
    </row>
    <row r="218" spans="1:7" ht="18" customHeight="1" x14ac:dyDescent="0.3">
      <c r="A218" s="9" t="s">
        <v>145</v>
      </c>
      <c r="B218" s="52" t="s">
        <v>211</v>
      </c>
      <c r="C218" s="51"/>
    </row>
    <row r="219" spans="1:7" ht="18" customHeight="1" x14ac:dyDescent="0.25">
      <c r="A219" s="11"/>
    </row>
    <row r="220" spans="1:7" ht="44.45" customHeight="1" x14ac:dyDescent="0.25">
      <c r="A220" s="58" t="s">
        <v>86</v>
      </c>
      <c r="B220" s="270" t="s">
        <v>106</v>
      </c>
      <c r="C220" s="270"/>
      <c r="D220" s="270" t="s">
        <v>107</v>
      </c>
      <c r="E220" s="270"/>
      <c r="F220" s="270" t="s">
        <v>108</v>
      </c>
      <c r="G220" s="270"/>
    </row>
    <row r="221" spans="1:7" ht="18" customHeight="1" x14ac:dyDescent="0.25">
      <c r="A221" s="58">
        <v>1</v>
      </c>
      <c r="B221" s="270">
        <v>2</v>
      </c>
      <c r="C221" s="270"/>
      <c r="D221" s="270">
        <v>3</v>
      </c>
      <c r="E221" s="270"/>
      <c r="F221" s="270">
        <v>4</v>
      </c>
      <c r="G221" s="270"/>
    </row>
    <row r="222" spans="1:7" ht="18" customHeight="1" x14ac:dyDescent="0.25">
      <c r="A222" s="13"/>
      <c r="B222" s="335"/>
      <c r="C222" s="335"/>
      <c r="D222" s="335"/>
      <c r="E222" s="335"/>
      <c r="F222" s="273">
        <f>B222*D222</f>
        <v>0</v>
      </c>
      <c r="G222" s="273"/>
    </row>
    <row r="223" spans="1:7" ht="18" customHeight="1" x14ac:dyDescent="0.25">
      <c r="A223" s="13"/>
      <c r="B223" s="335"/>
      <c r="C223" s="335"/>
      <c r="D223" s="335"/>
      <c r="E223" s="335"/>
      <c r="F223" s="336"/>
      <c r="G223" s="336"/>
    </row>
    <row r="224" spans="1:7" ht="18" customHeight="1" x14ac:dyDescent="0.25">
      <c r="A224" s="8"/>
    </row>
    <row r="225" spans="1:7" ht="18" customHeight="1" x14ac:dyDescent="0.3">
      <c r="A225" s="9" t="s">
        <v>145</v>
      </c>
      <c r="B225" s="52" t="s">
        <v>212</v>
      </c>
      <c r="C225" s="51"/>
    </row>
    <row r="226" spans="1:7" ht="18" customHeight="1" x14ac:dyDescent="0.25">
      <c r="A226" s="11"/>
    </row>
    <row r="227" spans="1:7" ht="42" customHeight="1" x14ac:dyDescent="0.25">
      <c r="A227" s="58" t="s">
        <v>86</v>
      </c>
      <c r="B227" s="270" t="s">
        <v>106</v>
      </c>
      <c r="C227" s="270"/>
      <c r="D227" s="270" t="s">
        <v>107</v>
      </c>
      <c r="E227" s="270"/>
      <c r="F227" s="270" t="s">
        <v>108</v>
      </c>
      <c r="G227" s="270"/>
    </row>
    <row r="228" spans="1:7" ht="18" customHeight="1" x14ac:dyDescent="0.25">
      <c r="A228" s="58">
        <v>1</v>
      </c>
      <c r="B228" s="270">
        <v>2</v>
      </c>
      <c r="C228" s="270"/>
      <c r="D228" s="270">
        <v>3</v>
      </c>
      <c r="E228" s="270"/>
      <c r="F228" s="270">
        <v>4</v>
      </c>
      <c r="G228" s="270"/>
    </row>
    <row r="229" spans="1:7" ht="18" customHeight="1" x14ac:dyDescent="0.25">
      <c r="A229" s="13"/>
      <c r="B229" s="335"/>
      <c r="C229" s="335"/>
      <c r="D229" s="335"/>
      <c r="E229" s="335"/>
      <c r="F229" s="336">
        <f>B229*D229</f>
        <v>0</v>
      </c>
      <c r="G229" s="336"/>
    </row>
    <row r="230" spans="1:7" ht="18" customHeight="1" x14ac:dyDescent="0.25">
      <c r="A230" s="13"/>
      <c r="B230" s="335"/>
      <c r="C230" s="335"/>
      <c r="D230" s="335"/>
      <c r="E230" s="335"/>
      <c r="F230" s="336"/>
      <c r="G230" s="336"/>
    </row>
    <row r="231" spans="1:7" ht="18" customHeight="1" x14ac:dyDescent="0.25">
      <c r="A231" s="15"/>
      <c r="B231" s="16"/>
      <c r="C231" s="16"/>
      <c r="D231" s="16"/>
      <c r="E231" s="16"/>
      <c r="F231" s="16"/>
      <c r="G231" s="16"/>
    </row>
    <row r="232" spans="1:7" ht="43.15" customHeight="1" x14ac:dyDescent="0.25">
      <c r="A232" s="271" t="s">
        <v>213</v>
      </c>
      <c r="B232" s="271"/>
      <c r="C232" s="271"/>
      <c r="D232" s="271"/>
      <c r="E232" s="271"/>
      <c r="F232" s="271"/>
      <c r="G232" s="271"/>
    </row>
    <row r="233" spans="1:7" ht="18" customHeight="1" x14ac:dyDescent="0.3">
      <c r="A233" s="9" t="s">
        <v>145</v>
      </c>
      <c r="B233" s="10">
        <v>853</v>
      </c>
    </row>
    <row r="234" spans="1:7" ht="18" customHeight="1" x14ac:dyDescent="0.25">
      <c r="A234" s="11"/>
    </row>
    <row r="235" spans="1:7" ht="61.9" customHeight="1" x14ac:dyDescent="0.25">
      <c r="A235" s="58" t="s">
        <v>86</v>
      </c>
      <c r="B235" s="270" t="s">
        <v>109</v>
      </c>
      <c r="C235" s="270"/>
      <c r="D235" s="270" t="s">
        <v>110</v>
      </c>
      <c r="E235" s="270"/>
      <c r="F235" s="270" t="s">
        <v>111</v>
      </c>
      <c r="G235" s="270"/>
    </row>
    <row r="236" spans="1:7" ht="18" customHeight="1" x14ac:dyDescent="0.25">
      <c r="A236" s="58">
        <v>1</v>
      </c>
      <c r="B236" s="270">
        <v>2</v>
      </c>
      <c r="C236" s="270"/>
      <c r="D236" s="270">
        <v>3</v>
      </c>
      <c r="E236" s="270"/>
      <c r="F236" s="270">
        <v>4</v>
      </c>
      <c r="G236" s="270"/>
    </row>
    <row r="237" spans="1:7" ht="18" customHeight="1" x14ac:dyDescent="0.25">
      <c r="A237" s="58"/>
      <c r="B237" s="250"/>
      <c r="C237" s="251"/>
      <c r="D237" s="250"/>
      <c r="E237" s="251"/>
      <c r="F237" s="250"/>
      <c r="G237" s="251"/>
    </row>
    <row r="238" spans="1:7" ht="18" customHeight="1" x14ac:dyDescent="0.25">
      <c r="A238" s="58" t="s">
        <v>245</v>
      </c>
      <c r="B238" s="250"/>
      <c r="C238" s="251"/>
      <c r="D238" s="250"/>
      <c r="E238" s="251"/>
      <c r="F238" s="244">
        <v>0</v>
      </c>
      <c r="G238" s="245"/>
    </row>
    <row r="239" spans="1:7" ht="18" customHeight="1" x14ac:dyDescent="0.25">
      <c r="A239" s="58"/>
      <c r="B239" s="250"/>
      <c r="C239" s="251"/>
      <c r="D239" s="250"/>
      <c r="E239" s="251"/>
      <c r="F239" s="250"/>
      <c r="G239" s="251"/>
    </row>
    <row r="240" spans="1:7" ht="18" customHeight="1" x14ac:dyDescent="0.25">
      <c r="A240" s="58" t="s">
        <v>246</v>
      </c>
      <c r="B240" s="250"/>
      <c r="C240" s="251"/>
      <c r="D240" s="250"/>
      <c r="E240" s="251"/>
      <c r="F240" s="244">
        <v>0</v>
      </c>
      <c r="G240" s="245"/>
    </row>
    <row r="241" spans="1:7" ht="18" customHeight="1" x14ac:dyDescent="0.25">
      <c r="A241" s="58"/>
      <c r="B241" s="250"/>
      <c r="C241" s="251"/>
      <c r="D241" s="250"/>
      <c r="E241" s="251"/>
      <c r="F241" s="250"/>
      <c r="G241" s="251"/>
    </row>
    <row r="242" spans="1:7" ht="18" customHeight="1" x14ac:dyDescent="0.25">
      <c r="A242" s="58" t="s">
        <v>247</v>
      </c>
      <c r="B242" s="250"/>
      <c r="C242" s="251"/>
      <c r="D242" s="250"/>
      <c r="E242" s="251"/>
      <c r="F242" s="244">
        <v>0</v>
      </c>
      <c r="G242" s="245"/>
    </row>
    <row r="243" spans="1:7" ht="18" customHeight="1" x14ac:dyDescent="0.25">
      <c r="A243" s="58"/>
      <c r="B243" s="250"/>
      <c r="C243" s="251"/>
      <c r="D243" s="250"/>
      <c r="E243" s="251"/>
      <c r="F243" s="250"/>
      <c r="G243" s="251"/>
    </row>
    <row r="244" spans="1:7" ht="18" customHeight="1" x14ac:dyDescent="0.25">
      <c r="A244" s="58" t="s">
        <v>248</v>
      </c>
      <c r="B244" s="250"/>
      <c r="C244" s="251"/>
      <c r="D244" s="250"/>
      <c r="E244" s="251"/>
      <c r="F244" s="244">
        <v>0</v>
      </c>
      <c r="G244" s="245"/>
    </row>
    <row r="245" spans="1:7" ht="18" customHeight="1" x14ac:dyDescent="0.25">
      <c r="A245" s="58"/>
      <c r="B245" s="250"/>
      <c r="C245" s="251"/>
      <c r="D245" s="250"/>
      <c r="E245" s="251"/>
      <c r="F245" s="250"/>
      <c r="G245" s="251"/>
    </row>
    <row r="246" spans="1:7" ht="18" customHeight="1" x14ac:dyDescent="0.25">
      <c r="A246" s="58" t="s">
        <v>249</v>
      </c>
      <c r="B246" s="250"/>
      <c r="C246" s="251"/>
      <c r="D246" s="250"/>
      <c r="E246" s="251"/>
      <c r="F246" s="244">
        <v>0</v>
      </c>
      <c r="G246" s="245"/>
    </row>
    <row r="247" spans="1:7" ht="18" customHeight="1" x14ac:dyDescent="0.25">
      <c r="A247" s="13"/>
      <c r="B247" s="335"/>
      <c r="C247" s="335"/>
      <c r="D247" s="335"/>
      <c r="E247" s="335"/>
      <c r="F247" s="336"/>
      <c r="G247" s="336"/>
    </row>
    <row r="248" spans="1:7" ht="18" customHeight="1" x14ac:dyDescent="0.25">
      <c r="A248" s="15"/>
      <c r="B248" s="16"/>
      <c r="C248" s="16"/>
      <c r="D248" s="16"/>
      <c r="E248" s="16"/>
      <c r="F248" s="16"/>
      <c r="G248" s="16"/>
    </row>
    <row r="249" spans="1:7" ht="28.9" customHeight="1" x14ac:dyDescent="0.25">
      <c r="A249" s="271" t="s">
        <v>214</v>
      </c>
      <c r="B249" s="271"/>
      <c r="C249" s="271"/>
      <c r="D249" s="271"/>
      <c r="E249" s="271"/>
      <c r="F249" s="271"/>
      <c r="G249" s="271"/>
    </row>
    <row r="250" spans="1:7" ht="41.45" customHeight="1" x14ac:dyDescent="0.25">
      <c r="A250" s="272" t="s">
        <v>215</v>
      </c>
      <c r="B250" s="272"/>
      <c r="C250" s="272"/>
      <c r="D250" s="272"/>
      <c r="E250" s="272"/>
      <c r="F250" s="272"/>
      <c r="G250" s="272"/>
    </row>
    <row r="251" spans="1:7" ht="18.75" x14ac:dyDescent="0.25">
      <c r="A251" s="61"/>
      <c r="B251" s="61"/>
      <c r="C251" s="61"/>
      <c r="D251" s="61"/>
      <c r="E251" s="61"/>
      <c r="F251" s="61"/>
      <c r="G251" s="61"/>
    </row>
    <row r="252" spans="1:7" ht="18.75" x14ac:dyDescent="0.25">
      <c r="A252" s="9" t="s">
        <v>145</v>
      </c>
      <c r="B252" s="19">
        <v>244</v>
      </c>
      <c r="C252" s="61"/>
      <c r="D252" s="61"/>
      <c r="E252" s="61"/>
      <c r="F252" s="61"/>
      <c r="G252" s="61"/>
    </row>
    <row r="253" spans="1:7" ht="18.75" x14ac:dyDescent="0.25">
      <c r="A253" s="22"/>
      <c r="B253" s="22"/>
      <c r="C253" s="22"/>
      <c r="D253" s="22"/>
      <c r="E253" s="22"/>
      <c r="F253" s="22"/>
      <c r="G253" s="22"/>
    </row>
    <row r="254" spans="1:7" ht="58.9" customHeight="1" x14ac:dyDescent="0.25">
      <c r="A254" s="58" t="s">
        <v>86</v>
      </c>
      <c r="B254" s="270" t="s">
        <v>160</v>
      </c>
      <c r="C254" s="270"/>
      <c r="D254" s="270" t="s">
        <v>122</v>
      </c>
      <c r="E254" s="270"/>
      <c r="F254" s="270" t="s">
        <v>161</v>
      </c>
      <c r="G254" s="270"/>
    </row>
    <row r="255" spans="1:7" ht="28.9" customHeight="1" x14ac:dyDescent="0.25">
      <c r="A255" s="58">
        <v>1</v>
      </c>
      <c r="B255" s="250">
        <v>2</v>
      </c>
      <c r="C255" s="251"/>
      <c r="D255" s="250">
        <v>3</v>
      </c>
      <c r="E255" s="251"/>
      <c r="F255" s="278">
        <v>4</v>
      </c>
      <c r="G255" s="279"/>
    </row>
    <row r="256" spans="1:7" ht="28.9" customHeight="1" x14ac:dyDescent="0.25">
      <c r="A256" s="13" t="s">
        <v>159</v>
      </c>
      <c r="B256" s="278"/>
      <c r="C256" s="279"/>
      <c r="D256" s="278"/>
      <c r="E256" s="279"/>
      <c r="F256" s="244">
        <f>B256*D256</f>
        <v>0</v>
      </c>
      <c r="G256" s="245"/>
    </row>
    <row r="257" spans="1:7" ht="28.9" customHeight="1" x14ac:dyDescent="0.25">
      <c r="A257" s="13" t="s">
        <v>120</v>
      </c>
      <c r="B257" s="278"/>
      <c r="C257" s="279"/>
      <c r="D257" s="278"/>
      <c r="E257" s="279"/>
      <c r="F257" s="329"/>
      <c r="G257" s="330"/>
    </row>
    <row r="258" spans="1:7" ht="18.75" x14ac:dyDescent="0.25">
      <c r="A258" s="57"/>
      <c r="B258" s="57"/>
      <c r="C258" s="57"/>
      <c r="D258" s="57"/>
      <c r="E258" s="57"/>
      <c r="F258" s="57"/>
      <c r="G258" s="57"/>
    </row>
    <row r="259" spans="1:7" ht="24.6" customHeight="1" x14ac:dyDescent="0.25">
      <c r="A259" s="269" t="s">
        <v>216</v>
      </c>
      <c r="B259" s="269"/>
      <c r="C259" s="269"/>
      <c r="D259" s="269"/>
      <c r="E259" s="269"/>
      <c r="F259" s="269"/>
      <c r="G259" s="269"/>
    </row>
    <row r="260" spans="1:7" ht="18.75" x14ac:dyDescent="0.25">
      <c r="A260" s="9"/>
    </row>
    <row r="261" spans="1:7" ht="18.75" x14ac:dyDescent="0.3">
      <c r="A261" s="9" t="s">
        <v>145</v>
      </c>
      <c r="B261" s="10">
        <v>244</v>
      </c>
    </row>
    <row r="262" spans="1:7" ht="18.75" x14ac:dyDescent="0.25">
      <c r="A262" s="8"/>
    </row>
    <row r="263" spans="1:7" ht="54.6" customHeight="1" x14ac:dyDescent="0.25">
      <c r="A263" s="58" t="s">
        <v>86</v>
      </c>
      <c r="B263" s="270" t="s">
        <v>121</v>
      </c>
      <c r="C263" s="270"/>
      <c r="D263" s="270" t="s">
        <v>122</v>
      </c>
      <c r="E263" s="270"/>
      <c r="F263" s="270" t="s">
        <v>186</v>
      </c>
      <c r="G263" s="270"/>
    </row>
    <row r="264" spans="1:7" ht="18.75" x14ac:dyDescent="0.25">
      <c r="A264" s="58">
        <v>1</v>
      </c>
      <c r="B264" s="250">
        <v>2</v>
      </c>
      <c r="C264" s="251"/>
      <c r="D264" s="250">
        <v>3</v>
      </c>
      <c r="E264" s="251"/>
      <c r="F264" s="278">
        <v>4</v>
      </c>
      <c r="G264" s="279"/>
    </row>
    <row r="265" spans="1:7" ht="37.5" x14ac:dyDescent="0.25">
      <c r="A265" s="13" t="s">
        <v>123</v>
      </c>
      <c r="B265" s="278"/>
      <c r="C265" s="279"/>
      <c r="D265" s="278"/>
      <c r="E265" s="279"/>
      <c r="F265" s="244">
        <f>B265*D265*12</f>
        <v>0</v>
      </c>
      <c r="G265" s="245"/>
    </row>
    <row r="266" spans="1:7" ht="18.75" x14ac:dyDescent="0.25">
      <c r="A266" s="13" t="s">
        <v>124</v>
      </c>
      <c r="B266" s="278"/>
      <c r="C266" s="279"/>
      <c r="D266" s="278"/>
      <c r="E266" s="279"/>
      <c r="F266" s="244">
        <f t="shared" ref="F266" si="0">B266*D266*12</f>
        <v>0</v>
      </c>
      <c r="G266" s="245"/>
    </row>
    <row r="267" spans="1:7" ht="18.75" x14ac:dyDescent="0.25">
      <c r="A267" s="13" t="s">
        <v>120</v>
      </c>
      <c r="B267" s="278"/>
      <c r="C267" s="279"/>
      <c r="D267" s="278"/>
      <c r="E267" s="279"/>
      <c r="F267" s="329"/>
      <c r="G267" s="330"/>
    </row>
    <row r="268" spans="1:7" x14ac:dyDescent="0.25">
      <c r="A268" s="23"/>
    </row>
    <row r="269" spans="1:7" ht="18.75" x14ac:dyDescent="0.25">
      <c r="A269" s="269" t="s">
        <v>217</v>
      </c>
      <c r="B269" s="269"/>
      <c r="C269" s="269"/>
      <c r="D269" s="269"/>
      <c r="E269" s="269"/>
      <c r="F269" s="269"/>
      <c r="G269" s="269"/>
    </row>
    <row r="270" spans="1:7" ht="18.75" x14ac:dyDescent="0.25">
      <c r="A270" s="9"/>
    </row>
    <row r="271" spans="1:7" ht="18.75" x14ac:dyDescent="0.3">
      <c r="A271" s="9" t="s">
        <v>145</v>
      </c>
      <c r="B271" s="10">
        <v>244</v>
      </c>
    </row>
    <row r="272" spans="1:7" ht="18.75" x14ac:dyDescent="0.25">
      <c r="A272" s="8"/>
    </row>
    <row r="273" spans="1:7" ht="50.45" customHeight="1" x14ac:dyDescent="0.25">
      <c r="A273" s="58" t="s">
        <v>86</v>
      </c>
      <c r="B273" s="270" t="s">
        <v>125</v>
      </c>
      <c r="C273" s="270"/>
      <c r="D273" s="270" t="s">
        <v>93</v>
      </c>
      <c r="E273" s="270"/>
      <c r="F273" s="270" t="s">
        <v>186</v>
      </c>
      <c r="G273" s="270"/>
    </row>
    <row r="274" spans="1:7" ht="18.75" x14ac:dyDescent="0.25">
      <c r="A274" s="58">
        <v>1</v>
      </c>
      <c r="B274" s="250">
        <v>2</v>
      </c>
      <c r="C274" s="251"/>
      <c r="D274" s="250">
        <v>3</v>
      </c>
      <c r="E274" s="251"/>
      <c r="F274" s="250">
        <v>4</v>
      </c>
      <c r="G274" s="251"/>
    </row>
    <row r="275" spans="1:7" ht="18.75" x14ac:dyDescent="0.25">
      <c r="A275" s="13"/>
      <c r="B275" s="250"/>
      <c r="C275" s="251"/>
      <c r="D275" s="250"/>
      <c r="E275" s="251"/>
      <c r="F275" s="244">
        <f>B275*D275*12</f>
        <v>0</v>
      </c>
      <c r="G275" s="245"/>
    </row>
    <row r="276" spans="1:7" ht="18.75" x14ac:dyDescent="0.25">
      <c r="A276" s="13" t="s">
        <v>120</v>
      </c>
      <c r="B276" s="250"/>
      <c r="C276" s="251"/>
      <c r="D276" s="250"/>
      <c r="E276" s="251"/>
      <c r="F276" s="244">
        <f>B276*D276*12</f>
        <v>0</v>
      </c>
      <c r="G276" s="245"/>
    </row>
    <row r="277" spans="1:7" ht="18.75" x14ac:dyDescent="0.25">
      <c r="A277" s="8"/>
    </row>
    <row r="278" spans="1:7" ht="18.75" x14ac:dyDescent="0.25">
      <c r="A278" s="269" t="s">
        <v>218</v>
      </c>
      <c r="B278" s="269"/>
      <c r="C278" s="269"/>
      <c r="D278" s="269"/>
      <c r="E278" s="269"/>
      <c r="F278" s="269"/>
      <c r="G278" s="269"/>
    </row>
    <row r="279" spans="1:7" ht="18.75" x14ac:dyDescent="0.25">
      <c r="A279" s="9"/>
    </row>
    <row r="280" spans="1:7" ht="18.75" x14ac:dyDescent="0.3">
      <c r="A280" s="9" t="s">
        <v>145</v>
      </c>
      <c r="B280" s="10">
        <v>244</v>
      </c>
    </row>
    <row r="281" spans="1:7" ht="18.75" x14ac:dyDescent="0.25">
      <c r="A281" s="8"/>
    </row>
    <row r="282" spans="1:7" ht="54.6" customHeight="1" x14ac:dyDescent="0.25">
      <c r="A282" s="58" t="s">
        <v>86</v>
      </c>
      <c r="B282" s="270" t="s">
        <v>126</v>
      </c>
      <c r="C282" s="270"/>
      <c r="D282" s="270" t="s">
        <v>127</v>
      </c>
      <c r="E282" s="270"/>
      <c r="F282" s="270" t="s">
        <v>94</v>
      </c>
      <c r="G282" s="270"/>
    </row>
    <row r="283" spans="1:7" ht="18.75" x14ac:dyDescent="0.25">
      <c r="A283" s="58">
        <v>1</v>
      </c>
      <c r="B283" s="250">
        <v>2</v>
      </c>
      <c r="C283" s="251"/>
      <c r="D283" s="250">
        <v>3</v>
      </c>
      <c r="E283" s="251"/>
      <c r="F283" s="250">
        <v>4</v>
      </c>
      <c r="G283" s="251"/>
    </row>
    <row r="284" spans="1:7" ht="75" x14ac:dyDescent="0.25">
      <c r="A284" s="13" t="s">
        <v>18</v>
      </c>
      <c r="B284" s="250"/>
      <c r="C284" s="251"/>
      <c r="D284" s="250"/>
      <c r="E284" s="251"/>
      <c r="F284" s="244">
        <f>B284*D284</f>
        <v>0</v>
      </c>
      <c r="G284" s="245"/>
    </row>
    <row r="285" spans="1:7" ht="37.5" x14ac:dyDescent="0.25">
      <c r="A285" s="13" t="s">
        <v>19</v>
      </c>
      <c r="B285" s="250"/>
      <c r="C285" s="251"/>
      <c r="D285" s="250"/>
      <c r="E285" s="251"/>
      <c r="F285" s="244">
        <f t="shared" ref="F285:F288" si="1">B285*D285</f>
        <v>0</v>
      </c>
      <c r="G285" s="245"/>
    </row>
    <row r="286" spans="1:7" ht="75" x14ac:dyDescent="0.25">
      <c r="A286" s="13" t="s">
        <v>20</v>
      </c>
      <c r="B286" s="250"/>
      <c r="C286" s="251"/>
      <c r="D286" s="250"/>
      <c r="E286" s="251"/>
      <c r="F286" s="244">
        <f t="shared" si="1"/>
        <v>0</v>
      </c>
      <c r="G286" s="245"/>
    </row>
    <row r="287" spans="1:7" ht="75" x14ac:dyDescent="0.25">
      <c r="A287" s="13" t="s">
        <v>21</v>
      </c>
      <c r="B287" s="250"/>
      <c r="C287" s="251"/>
      <c r="D287" s="250"/>
      <c r="E287" s="251"/>
      <c r="F287" s="244">
        <f t="shared" si="1"/>
        <v>0</v>
      </c>
      <c r="G287" s="245"/>
    </row>
    <row r="288" spans="1:7" ht="56.25" x14ac:dyDescent="0.25">
      <c r="A288" s="24" t="s">
        <v>22</v>
      </c>
      <c r="B288" s="250"/>
      <c r="C288" s="251"/>
      <c r="D288" s="250"/>
      <c r="E288" s="251"/>
      <c r="F288" s="244">
        <f t="shared" si="1"/>
        <v>0</v>
      </c>
      <c r="G288" s="245"/>
    </row>
    <row r="289" spans="1:7" ht="18.75" x14ac:dyDescent="0.25">
      <c r="A289" s="25"/>
      <c r="B289" s="26"/>
      <c r="C289" s="26"/>
      <c r="D289" s="26"/>
      <c r="E289" s="26"/>
      <c r="F289" s="26"/>
      <c r="G289" s="26"/>
    </row>
    <row r="290" spans="1:7" ht="18.75" x14ac:dyDescent="0.25">
      <c r="A290" s="334" t="s">
        <v>219</v>
      </c>
      <c r="B290" s="334"/>
      <c r="C290" s="334"/>
      <c r="D290" s="334"/>
      <c r="E290" s="334"/>
      <c r="F290" s="334"/>
      <c r="G290" s="334"/>
    </row>
    <row r="291" spans="1:7" ht="18.75" x14ac:dyDescent="0.25">
      <c r="A291" s="62"/>
      <c r="B291" s="62"/>
      <c r="C291" s="62"/>
      <c r="D291" s="62"/>
      <c r="E291" s="62"/>
      <c r="F291" s="62"/>
      <c r="G291" s="62"/>
    </row>
    <row r="292" spans="1:7" ht="18.75" x14ac:dyDescent="0.3">
      <c r="A292" s="9" t="s">
        <v>145</v>
      </c>
      <c r="B292" s="10">
        <v>244</v>
      </c>
    </row>
    <row r="293" spans="1:7" ht="18.75" x14ac:dyDescent="0.25">
      <c r="A293" s="8"/>
    </row>
    <row r="294" spans="1:7" ht="44.45" customHeight="1" x14ac:dyDescent="0.25">
      <c r="A294" s="58" t="s">
        <v>86</v>
      </c>
      <c r="B294" s="270" t="s">
        <v>128</v>
      </c>
      <c r="C294" s="270"/>
      <c r="D294" s="270" t="s">
        <v>148</v>
      </c>
      <c r="E294" s="270"/>
      <c r="F294" s="270" t="s">
        <v>129</v>
      </c>
      <c r="G294" s="270"/>
    </row>
    <row r="295" spans="1:7" ht="18.75" x14ac:dyDescent="0.25">
      <c r="A295" s="58">
        <v>1</v>
      </c>
      <c r="B295" s="250">
        <v>2</v>
      </c>
      <c r="C295" s="251"/>
      <c r="D295" s="250">
        <v>3</v>
      </c>
      <c r="E295" s="251"/>
      <c r="F295" s="250">
        <v>4</v>
      </c>
      <c r="G295" s="251"/>
    </row>
    <row r="296" spans="1:7" ht="37.5" x14ac:dyDescent="0.25">
      <c r="A296" s="13" t="s">
        <v>130</v>
      </c>
      <c r="B296" s="250"/>
      <c r="C296" s="251"/>
      <c r="D296" s="250"/>
      <c r="E296" s="251"/>
      <c r="F296" s="244">
        <f>B296*D296</f>
        <v>0</v>
      </c>
      <c r="G296" s="245"/>
    </row>
    <row r="297" spans="1:7" ht="18.75" x14ac:dyDescent="0.25">
      <c r="A297" s="13" t="s">
        <v>118</v>
      </c>
      <c r="B297" s="250"/>
      <c r="C297" s="251"/>
      <c r="D297" s="250"/>
      <c r="E297" s="251"/>
      <c r="F297" s="244">
        <f>B297*D297</f>
        <v>0</v>
      </c>
      <c r="G297" s="245"/>
    </row>
    <row r="298" spans="1:7" ht="18.75" x14ac:dyDescent="0.25">
      <c r="A298" s="27"/>
      <c r="B298" s="26"/>
      <c r="C298" s="26"/>
      <c r="D298" s="26"/>
      <c r="E298" s="26"/>
      <c r="F298" s="26"/>
      <c r="G298" s="26"/>
    </row>
    <row r="299" spans="1:7" ht="39" customHeight="1" x14ac:dyDescent="0.25">
      <c r="A299" s="272" t="s">
        <v>220</v>
      </c>
      <c r="B299" s="272"/>
      <c r="C299" s="272"/>
      <c r="D299" s="272"/>
      <c r="E299" s="272"/>
      <c r="F299" s="272"/>
      <c r="G299" s="272"/>
    </row>
    <row r="300" spans="1:7" ht="18.75" x14ac:dyDescent="0.25">
      <c r="A300" s="9"/>
    </row>
    <row r="301" spans="1:7" ht="18.75" x14ac:dyDescent="0.3">
      <c r="A301" s="9" t="s">
        <v>145</v>
      </c>
      <c r="B301" s="10">
        <v>243</v>
      </c>
    </row>
    <row r="302" spans="1:7" ht="18.75" x14ac:dyDescent="0.25">
      <c r="A302" s="8"/>
    </row>
    <row r="303" spans="1:7" ht="39.6" customHeight="1" x14ac:dyDescent="0.25">
      <c r="A303" s="270" t="s">
        <v>86</v>
      </c>
      <c r="B303" s="270"/>
      <c r="C303" s="270"/>
      <c r="D303" s="270" t="s">
        <v>131</v>
      </c>
      <c r="E303" s="270"/>
      <c r="F303" s="270" t="s">
        <v>132</v>
      </c>
      <c r="G303" s="270"/>
    </row>
    <row r="304" spans="1:7" ht="18.75" x14ac:dyDescent="0.3">
      <c r="A304" s="270">
        <v>1</v>
      </c>
      <c r="B304" s="270"/>
      <c r="C304" s="270"/>
      <c r="D304" s="258">
        <v>2</v>
      </c>
      <c r="E304" s="259"/>
      <c r="F304" s="258">
        <v>3</v>
      </c>
      <c r="G304" s="259"/>
    </row>
    <row r="305" spans="1:7" ht="43.15" customHeight="1" x14ac:dyDescent="0.25">
      <c r="A305" s="257" t="s">
        <v>163</v>
      </c>
      <c r="B305" s="257"/>
      <c r="C305" s="257"/>
      <c r="D305" s="274"/>
      <c r="E305" s="275"/>
      <c r="F305" s="294">
        <v>0</v>
      </c>
      <c r="G305" s="295"/>
    </row>
    <row r="306" spans="1:7" ht="18.75" x14ac:dyDescent="0.25">
      <c r="A306" s="248" t="s">
        <v>120</v>
      </c>
      <c r="B306" s="260"/>
      <c r="C306" s="249"/>
      <c r="D306" s="274"/>
      <c r="E306" s="275"/>
      <c r="F306" s="331"/>
      <c r="G306" s="333"/>
    </row>
    <row r="307" spans="1:7" ht="18.75" x14ac:dyDescent="0.25">
      <c r="A307" s="28"/>
      <c r="B307" s="28"/>
      <c r="C307" s="28"/>
      <c r="D307" s="17"/>
      <c r="E307" s="17"/>
      <c r="F307" s="17"/>
      <c r="G307" s="17"/>
    </row>
    <row r="308" spans="1:7" ht="18.75" x14ac:dyDescent="0.3">
      <c r="A308" s="9" t="s">
        <v>145</v>
      </c>
      <c r="B308" s="10">
        <v>244</v>
      </c>
    </row>
    <row r="309" spans="1:7" ht="18.75" x14ac:dyDescent="0.25">
      <c r="A309" s="8"/>
    </row>
    <row r="310" spans="1:7" ht="43.9" customHeight="1" x14ac:dyDescent="0.25">
      <c r="A310" s="270" t="s">
        <v>86</v>
      </c>
      <c r="B310" s="270"/>
      <c r="C310" s="270"/>
      <c r="D310" s="270" t="s">
        <v>131</v>
      </c>
      <c r="E310" s="270"/>
      <c r="F310" s="270" t="s">
        <v>132</v>
      </c>
      <c r="G310" s="270"/>
    </row>
    <row r="311" spans="1:7" ht="18.75" x14ac:dyDescent="0.3">
      <c r="A311" s="270">
        <v>1</v>
      </c>
      <c r="B311" s="270"/>
      <c r="C311" s="270"/>
      <c r="D311" s="258">
        <v>2</v>
      </c>
      <c r="E311" s="259"/>
      <c r="F311" s="258">
        <v>3</v>
      </c>
      <c r="G311" s="259"/>
    </row>
    <row r="312" spans="1:7" ht="34.15" customHeight="1" x14ac:dyDescent="0.25">
      <c r="A312" s="257" t="s">
        <v>133</v>
      </c>
      <c r="B312" s="257"/>
      <c r="C312" s="257"/>
      <c r="D312" s="274"/>
      <c r="E312" s="275"/>
      <c r="F312" s="294">
        <v>0</v>
      </c>
      <c r="G312" s="295"/>
    </row>
    <row r="313" spans="1:7" ht="34.15" customHeight="1" x14ac:dyDescent="0.25">
      <c r="A313" s="257" t="s">
        <v>134</v>
      </c>
      <c r="B313" s="257"/>
      <c r="C313" s="257"/>
      <c r="D313" s="274"/>
      <c r="E313" s="275"/>
      <c r="F313" s="294">
        <v>0</v>
      </c>
      <c r="G313" s="295"/>
    </row>
    <row r="314" spans="1:7" ht="34.15" customHeight="1" x14ac:dyDescent="0.25">
      <c r="A314" s="257" t="s">
        <v>135</v>
      </c>
      <c r="B314" s="257"/>
      <c r="C314" s="257"/>
      <c r="D314" s="274"/>
      <c r="E314" s="275"/>
      <c r="F314" s="294">
        <v>0</v>
      </c>
      <c r="G314" s="295"/>
    </row>
    <row r="315" spans="1:7" ht="34.15" customHeight="1" x14ac:dyDescent="0.25">
      <c r="A315" s="257" t="s">
        <v>136</v>
      </c>
      <c r="B315" s="257"/>
      <c r="C315" s="257"/>
      <c r="D315" s="274"/>
      <c r="E315" s="275"/>
      <c r="F315" s="294">
        <v>0</v>
      </c>
      <c r="G315" s="295"/>
    </row>
    <row r="316" spans="1:7" ht="18.75" x14ac:dyDescent="0.25">
      <c r="A316" s="248" t="s">
        <v>120</v>
      </c>
      <c r="B316" s="260"/>
      <c r="C316" s="249"/>
      <c r="D316" s="274"/>
      <c r="E316" s="275"/>
      <c r="F316" s="331"/>
      <c r="G316" s="333"/>
    </row>
    <row r="317" spans="1:7" ht="18.75" x14ac:dyDescent="0.25">
      <c r="A317" s="29"/>
    </row>
    <row r="318" spans="1:7" ht="18.75" x14ac:dyDescent="0.25">
      <c r="A318" s="269" t="s">
        <v>221</v>
      </c>
      <c r="B318" s="269"/>
      <c r="C318" s="269"/>
      <c r="D318" s="269"/>
      <c r="E318" s="269"/>
      <c r="F318" s="269"/>
      <c r="G318" s="269"/>
    </row>
    <row r="319" spans="1:7" ht="18.75" x14ac:dyDescent="0.25">
      <c r="A319" s="9"/>
    </row>
    <row r="320" spans="1:7" ht="18.75" x14ac:dyDescent="0.3">
      <c r="A320" s="9" t="s">
        <v>145</v>
      </c>
      <c r="B320" s="10">
        <v>243</v>
      </c>
    </row>
    <row r="321" spans="1:7" ht="18.75" x14ac:dyDescent="0.25">
      <c r="A321" s="8"/>
    </row>
    <row r="322" spans="1:7" ht="28.9" customHeight="1" x14ac:dyDescent="0.25">
      <c r="A322" s="270" t="s">
        <v>86</v>
      </c>
      <c r="B322" s="270"/>
      <c r="C322" s="270"/>
      <c r="D322" s="270" t="s">
        <v>137</v>
      </c>
      <c r="E322" s="270"/>
      <c r="F322" s="270" t="s">
        <v>138</v>
      </c>
      <c r="G322" s="270"/>
    </row>
    <row r="323" spans="1:7" ht="18.75" x14ac:dyDescent="0.3">
      <c r="A323" s="250">
        <v>1</v>
      </c>
      <c r="B323" s="277"/>
      <c r="C323" s="251"/>
      <c r="D323" s="258">
        <v>2</v>
      </c>
      <c r="E323" s="259"/>
      <c r="F323" s="258">
        <v>3</v>
      </c>
      <c r="G323" s="259"/>
    </row>
    <row r="324" spans="1:7" ht="38.450000000000003" customHeight="1" x14ac:dyDescent="0.25">
      <c r="A324" s="248" t="s">
        <v>162</v>
      </c>
      <c r="B324" s="260"/>
      <c r="C324" s="249"/>
      <c r="D324" s="274"/>
      <c r="E324" s="275"/>
      <c r="F324" s="294">
        <v>0</v>
      </c>
      <c r="G324" s="295"/>
    </row>
    <row r="325" spans="1:7" ht="18.75" x14ac:dyDescent="0.25">
      <c r="A325" s="248" t="s">
        <v>120</v>
      </c>
      <c r="B325" s="260"/>
      <c r="C325" s="249"/>
      <c r="D325" s="274"/>
      <c r="E325" s="275"/>
      <c r="F325" s="331"/>
      <c r="G325" s="333"/>
    </row>
    <row r="326" spans="1:7" ht="18.75" x14ac:dyDescent="0.25">
      <c r="A326" s="28"/>
      <c r="B326" s="28"/>
      <c r="C326" s="28"/>
      <c r="D326" s="17"/>
      <c r="E326" s="17"/>
      <c r="F326" s="17"/>
      <c r="G326" s="17"/>
    </row>
    <row r="327" spans="1:7" ht="18.75" x14ac:dyDescent="0.3">
      <c r="A327" s="9" t="s">
        <v>145</v>
      </c>
      <c r="B327" s="10">
        <v>244</v>
      </c>
    </row>
    <row r="328" spans="1:7" ht="18.75" x14ac:dyDescent="0.25">
      <c r="A328" s="8"/>
    </row>
    <row r="329" spans="1:7" ht="30" customHeight="1" x14ac:dyDescent="0.25">
      <c r="A329" s="270" t="s">
        <v>86</v>
      </c>
      <c r="B329" s="270"/>
      <c r="C329" s="270"/>
      <c r="D329" s="270" t="s">
        <v>137</v>
      </c>
      <c r="E329" s="270"/>
      <c r="F329" s="270" t="s">
        <v>138</v>
      </c>
      <c r="G329" s="270"/>
    </row>
    <row r="330" spans="1:7" ht="18.75" x14ac:dyDescent="0.3">
      <c r="A330" s="250">
        <v>1</v>
      </c>
      <c r="B330" s="277"/>
      <c r="C330" s="251"/>
      <c r="D330" s="258">
        <v>2</v>
      </c>
      <c r="E330" s="259"/>
      <c r="F330" s="258">
        <v>3</v>
      </c>
      <c r="G330" s="259"/>
    </row>
    <row r="331" spans="1:7" ht="18.75" x14ac:dyDescent="0.25">
      <c r="A331" s="248" t="s">
        <v>139</v>
      </c>
      <c r="B331" s="260"/>
      <c r="C331" s="249"/>
      <c r="D331" s="274"/>
      <c r="E331" s="275"/>
      <c r="F331" s="294">
        <v>0</v>
      </c>
      <c r="G331" s="295"/>
    </row>
    <row r="332" spans="1:7" ht="18.75" x14ac:dyDescent="0.25">
      <c r="A332" s="248" t="s">
        <v>140</v>
      </c>
      <c r="B332" s="260"/>
      <c r="C332" s="249"/>
      <c r="D332" s="274"/>
      <c r="E332" s="275"/>
      <c r="F332" s="294">
        <v>0</v>
      </c>
      <c r="G332" s="295"/>
    </row>
    <row r="333" spans="1:7" ht="18.75" x14ac:dyDescent="0.25">
      <c r="A333" s="248" t="s">
        <v>141</v>
      </c>
      <c r="B333" s="260"/>
      <c r="C333" s="249"/>
      <c r="D333" s="274"/>
      <c r="E333" s="275"/>
      <c r="F333" s="294">
        <v>0</v>
      </c>
      <c r="G333" s="295"/>
    </row>
    <row r="334" spans="1:7" ht="18.75" x14ac:dyDescent="0.25">
      <c r="A334" s="248" t="s">
        <v>120</v>
      </c>
      <c r="B334" s="260"/>
      <c r="C334" s="249"/>
      <c r="D334" s="274"/>
      <c r="E334" s="275"/>
      <c r="F334" s="331"/>
      <c r="G334" s="333"/>
    </row>
    <row r="335" spans="1:7" ht="18.75" x14ac:dyDescent="0.25">
      <c r="A335" s="8"/>
    </row>
    <row r="336" spans="1:7" ht="18.75" x14ac:dyDescent="0.25">
      <c r="A336" s="269" t="s">
        <v>222</v>
      </c>
      <c r="B336" s="269"/>
      <c r="C336" s="269"/>
      <c r="D336" s="269"/>
      <c r="E336" s="269"/>
      <c r="F336" s="269"/>
      <c r="G336" s="269"/>
    </row>
    <row r="337" spans="1:7" ht="18.75" x14ac:dyDescent="0.25">
      <c r="A337" s="9"/>
    </row>
    <row r="338" spans="1:7" ht="18.75" x14ac:dyDescent="0.3">
      <c r="A338" s="9" t="s">
        <v>145</v>
      </c>
      <c r="B338" s="10">
        <v>244</v>
      </c>
    </row>
    <row r="339" spans="1:7" ht="18.75" x14ac:dyDescent="0.25">
      <c r="A339" s="8"/>
    </row>
    <row r="340" spans="1:7" ht="36" customHeight="1" x14ac:dyDescent="0.25">
      <c r="A340" s="250" t="s">
        <v>86</v>
      </c>
      <c r="B340" s="251"/>
      <c r="C340" s="250" t="s">
        <v>137</v>
      </c>
      <c r="D340" s="251"/>
      <c r="E340" s="250" t="s">
        <v>138</v>
      </c>
      <c r="F340" s="277"/>
      <c r="G340" s="251"/>
    </row>
    <row r="341" spans="1:7" ht="18.75" x14ac:dyDescent="0.3">
      <c r="A341" s="250">
        <v>1</v>
      </c>
      <c r="B341" s="251"/>
      <c r="C341" s="250">
        <v>2</v>
      </c>
      <c r="D341" s="251"/>
      <c r="E341" s="258">
        <v>3</v>
      </c>
      <c r="F341" s="276"/>
      <c r="G341" s="259"/>
    </row>
    <row r="342" spans="1:7" ht="18.75" x14ac:dyDescent="0.25">
      <c r="A342" s="248" t="s">
        <v>25</v>
      </c>
      <c r="B342" s="249"/>
      <c r="C342" s="250"/>
      <c r="D342" s="251"/>
      <c r="E342" s="294">
        <v>0</v>
      </c>
      <c r="F342" s="342"/>
      <c r="G342" s="295"/>
    </row>
    <row r="343" spans="1:7" ht="18.75" x14ac:dyDescent="0.25">
      <c r="A343" s="248" t="s">
        <v>120</v>
      </c>
      <c r="B343" s="249"/>
      <c r="C343" s="250"/>
      <c r="D343" s="251"/>
      <c r="E343" s="331"/>
      <c r="F343" s="332"/>
      <c r="G343" s="333"/>
    </row>
    <row r="344" spans="1:7" x14ac:dyDescent="0.25">
      <c r="A344" s="23"/>
    </row>
    <row r="345" spans="1:7" ht="43.15" customHeight="1" x14ac:dyDescent="0.25">
      <c r="A345" s="271" t="s">
        <v>223</v>
      </c>
      <c r="B345" s="271"/>
      <c r="C345" s="271"/>
      <c r="D345" s="271"/>
      <c r="E345" s="271"/>
      <c r="F345" s="271"/>
      <c r="G345" s="271"/>
    </row>
    <row r="346" spans="1:7" ht="18.75" x14ac:dyDescent="0.25">
      <c r="A346" s="29"/>
    </row>
    <row r="347" spans="1:7" ht="18.75" x14ac:dyDescent="0.3">
      <c r="A347" s="9" t="s">
        <v>145</v>
      </c>
      <c r="B347" s="10">
        <v>244</v>
      </c>
    </row>
    <row r="348" spans="1:7" ht="18.75" x14ac:dyDescent="0.25">
      <c r="A348" s="8"/>
    </row>
    <row r="349" spans="1:7" ht="34.9" customHeight="1" x14ac:dyDescent="0.25">
      <c r="A349" s="58" t="s">
        <v>86</v>
      </c>
      <c r="B349" s="270" t="s">
        <v>142</v>
      </c>
      <c r="C349" s="270"/>
      <c r="D349" s="270" t="s">
        <v>143</v>
      </c>
      <c r="E349" s="270"/>
      <c r="F349" s="270" t="s">
        <v>149</v>
      </c>
      <c r="G349" s="270"/>
    </row>
    <row r="350" spans="1:7" ht="18.75" x14ac:dyDescent="0.25">
      <c r="A350" s="58">
        <v>1</v>
      </c>
      <c r="B350" s="250">
        <v>2</v>
      </c>
      <c r="C350" s="251"/>
      <c r="D350" s="250">
        <v>3</v>
      </c>
      <c r="E350" s="251"/>
      <c r="F350" s="250">
        <v>4</v>
      </c>
      <c r="G350" s="251"/>
    </row>
    <row r="351" spans="1:7" ht="18.75" x14ac:dyDescent="0.25">
      <c r="A351" s="58"/>
      <c r="B351" s="250"/>
      <c r="C351" s="251"/>
      <c r="D351" s="250"/>
      <c r="E351" s="251"/>
      <c r="F351" s="244">
        <f t="shared" ref="F351:F352" si="2">B351*D351</f>
        <v>0</v>
      </c>
      <c r="G351" s="245"/>
    </row>
    <row r="352" spans="1:7" ht="18.75" x14ac:dyDescent="0.25">
      <c r="A352" s="60" t="s">
        <v>248</v>
      </c>
      <c r="B352" s="250"/>
      <c r="C352" s="251"/>
      <c r="D352" s="250"/>
      <c r="E352" s="251"/>
      <c r="F352" s="244">
        <f t="shared" si="2"/>
        <v>0</v>
      </c>
      <c r="G352" s="245"/>
    </row>
    <row r="353" spans="1:7" ht="18.75" x14ac:dyDescent="0.25">
      <c r="A353" s="60"/>
      <c r="B353" s="250"/>
      <c r="C353" s="251"/>
      <c r="D353" s="250"/>
      <c r="E353" s="251"/>
      <c r="F353" s="244">
        <f>B353*D353</f>
        <v>0</v>
      </c>
      <c r="G353" s="245"/>
    </row>
    <row r="354" spans="1:7" ht="18.75" x14ac:dyDescent="0.25">
      <c r="A354" s="13" t="s">
        <v>249</v>
      </c>
      <c r="B354" s="250"/>
      <c r="C354" s="251"/>
      <c r="D354" s="250"/>
      <c r="E354" s="251"/>
      <c r="F354" s="244">
        <f>B354*D354</f>
        <v>0</v>
      </c>
      <c r="G354" s="245"/>
    </row>
    <row r="355" spans="1:7" ht="18.75" x14ac:dyDescent="0.25">
      <c r="A355" s="8"/>
    </row>
    <row r="356" spans="1:7" ht="18.75" x14ac:dyDescent="0.25">
      <c r="A356" s="269" t="s">
        <v>224</v>
      </c>
      <c r="B356" s="269"/>
      <c r="C356" s="269"/>
      <c r="D356" s="269"/>
      <c r="E356" s="269"/>
      <c r="F356" s="269"/>
      <c r="G356" s="269"/>
    </row>
    <row r="357" spans="1:7" ht="18.75" x14ac:dyDescent="0.25">
      <c r="A357" s="9"/>
    </row>
    <row r="358" spans="1:7" ht="18.75" x14ac:dyDescent="0.3">
      <c r="A358" s="9" t="s">
        <v>145</v>
      </c>
      <c r="B358" s="10">
        <v>244</v>
      </c>
    </row>
    <row r="359" spans="1:7" ht="18.75" x14ac:dyDescent="0.25">
      <c r="A359" s="8"/>
    </row>
    <row r="360" spans="1:7" ht="41.45" customHeight="1" x14ac:dyDescent="0.25">
      <c r="A360" s="58" t="s">
        <v>86</v>
      </c>
      <c r="B360" s="270" t="s">
        <v>142</v>
      </c>
      <c r="C360" s="270"/>
      <c r="D360" s="270" t="s">
        <v>143</v>
      </c>
      <c r="E360" s="270"/>
      <c r="F360" s="270" t="s">
        <v>150</v>
      </c>
      <c r="G360" s="270"/>
    </row>
    <row r="361" spans="1:7" ht="18.75" x14ac:dyDescent="0.25">
      <c r="A361" s="58">
        <v>1</v>
      </c>
      <c r="B361" s="250">
        <v>2</v>
      </c>
      <c r="C361" s="251"/>
      <c r="D361" s="250">
        <v>3</v>
      </c>
      <c r="E361" s="251"/>
      <c r="F361" s="250">
        <v>4</v>
      </c>
      <c r="G361" s="251"/>
    </row>
    <row r="362" spans="1:7" ht="56.25" x14ac:dyDescent="0.25">
      <c r="A362" s="13" t="s">
        <v>144</v>
      </c>
      <c r="B362" s="250"/>
      <c r="C362" s="251"/>
      <c r="D362" s="250"/>
      <c r="E362" s="251"/>
      <c r="F362" s="244">
        <f>B362*D362</f>
        <v>0</v>
      </c>
      <c r="G362" s="245"/>
    </row>
    <row r="363" spans="1:7" ht="18.75" x14ac:dyDescent="0.25">
      <c r="A363" s="13" t="s">
        <v>120</v>
      </c>
      <c r="B363" s="250"/>
      <c r="C363" s="251"/>
      <c r="D363" s="250"/>
      <c r="E363" s="251"/>
      <c r="F363" s="244">
        <f>B363*D363</f>
        <v>0</v>
      </c>
      <c r="G363" s="245"/>
    </row>
    <row r="364" spans="1:7" ht="18.75" x14ac:dyDescent="0.25">
      <c r="A364" s="8"/>
    </row>
    <row r="365" spans="1:7" ht="28.15" customHeight="1" x14ac:dyDescent="0.25">
      <c r="A365" s="269" t="s">
        <v>250</v>
      </c>
      <c r="B365" s="269"/>
      <c r="C365" s="269"/>
      <c r="D365" s="269"/>
      <c r="E365" s="269"/>
      <c r="F365" s="269"/>
      <c r="G365" s="269"/>
    </row>
    <row r="366" spans="1:7" ht="18.75" x14ac:dyDescent="0.25">
      <c r="A366" s="9"/>
    </row>
    <row r="367" spans="1:7" ht="18.75" x14ac:dyDescent="0.3">
      <c r="A367" s="9" t="s">
        <v>145</v>
      </c>
      <c r="B367" s="10">
        <v>244</v>
      </c>
    </row>
    <row r="368" spans="1:7" ht="18.75" x14ac:dyDescent="0.25">
      <c r="A368" s="8"/>
    </row>
    <row r="369" spans="1:7" ht="37.9" customHeight="1" x14ac:dyDescent="0.25">
      <c r="A369" s="58" t="s">
        <v>86</v>
      </c>
      <c r="B369" s="270" t="s">
        <v>142</v>
      </c>
      <c r="C369" s="270"/>
      <c r="D369" s="270" t="s">
        <v>143</v>
      </c>
      <c r="E369" s="270"/>
      <c r="F369" s="270" t="s">
        <v>150</v>
      </c>
      <c r="G369" s="270"/>
    </row>
    <row r="370" spans="1:7" ht="18.75" x14ac:dyDescent="0.25">
      <c r="A370" s="58">
        <v>1</v>
      </c>
      <c r="B370" s="250">
        <v>2</v>
      </c>
      <c r="C370" s="251"/>
      <c r="D370" s="250">
        <v>3</v>
      </c>
      <c r="E370" s="251"/>
      <c r="F370" s="250">
        <v>4</v>
      </c>
      <c r="G370" s="251"/>
    </row>
    <row r="371" spans="1:7" ht="18.75" x14ac:dyDescent="0.25">
      <c r="A371" s="13"/>
      <c r="B371" s="250"/>
      <c r="C371" s="251"/>
      <c r="D371" s="250"/>
      <c r="E371" s="251"/>
      <c r="F371" s="244">
        <f>B371*D371</f>
        <v>0</v>
      </c>
      <c r="G371" s="245"/>
    </row>
    <row r="372" spans="1:7" ht="18.75" x14ac:dyDescent="0.25">
      <c r="A372" s="13" t="s">
        <v>120</v>
      </c>
      <c r="B372" s="250"/>
      <c r="C372" s="251"/>
      <c r="D372" s="250"/>
      <c r="E372" s="251"/>
      <c r="F372" s="244"/>
      <c r="G372" s="245"/>
    </row>
    <row r="373" spans="1:7" ht="18.75" x14ac:dyDescent="0.25">
      <c r="A373" s="8"/>
    </row>
    <row r="374" spans="1:7" ht="31.9" customHeight="1" x14ac:dyDescent="0.25">
      <c r="A374" s="271" t="s">
        <v>251</v>
      </c>
      <c r="B374" s="271"/>
      <c r="C374" s="271"/>
      <c r="D374" s="271"/>
      <c r="E374" s="271"/>
      <c r="F374" s="271"/>
      <c r="G374" s="271"/>
    </row>
    <row r="375" spans="1:7" ht="18.75" x14ac:dyDescent="0.25">
      <c r="A375" s="9"/>
    </row>
    <row r="376" spans="1:7" ht="18.75" x14ac:dyDescent="0.3">
      <c r="A376" s="9" t="s">
        <v>145</v>
      </c>
      <c r="B376" s="10">
        <v>244</v>
      </c>
    </row>
    <row r="377" spans="1:7" ht="18.75" x14ac:dyDescent="0.25">
      <c r="A377" s="8"/>
    </row>
    <row r="378" spans="1:7" ht="40.9" customHeight="1" x14ac:dyDescent="0.25">
      <c r="A378" s="58" t="s">
        <v>86</v>
      </c>
      <c r="B378" s="270" t="s">
        <v>142</v>
      </c>
      <c r="C378" s="270"/>
      <c r="D378" s="270" t="s">
        <v>143</v>
      </c>
      <c r="E378" s="270"/>
      <c r="F378" s="270" t="s">
        <v>150</v>
      </c>
      <c r="G378" s="270"/>
    </row>
    <row r="379" spans="1:7" ht="18.75" x14ac:dyDescent="0.25">
      <c r="A379" s="58">
        <v>1</v>
      </c>
      <c r="B379" s="250">
        <v>2</v>
      </c>
      <c r="C379" s="251"/>
      <c r="D379" s="250">
        <v>3</v>
      </c>
      <c r="E379" s="251"/>
      <c r="F379" s="250">
        <v>4</v>
      </c>
      <c r="G379" s="251"/>
    </row>
    <row r="380" spans="1:7" ht="18.75" x14ac:dyDescent="0.25">
      <c r="A380" s="13"/>
      <c r="B380" s="278"/>
      <c r="C380" s="279"/>
      <c r="D380" s="278"/>
      <c r="E380" s="279"/>
      <c r="F380" s="329"/>
      <c r="G380" s="330"/>
    </row>
    <row r="381" spans="1:7" ht="18.75" x14ac:dyDescent="0.25">
      <c r="A381" s="13" t="s">
        <v>237</v>
      </c>
      <c r="B381" s="278"/>
      <c r="C381" s="279"/>
      <c r="D381" s="278"/>
      <c r="E381" s="279"/>
      <c r="F381" s="244">
        <f t="shared" ref="F381:F393" si="3">B381*D381</f>
        <v>0</v>
      </c>
      <c r="G381" s="245"/>
    </row>
    <row r="382" spans="1:7" ht="18.75" x14ac:dyDescent="0.25">
      <c r="A382" s="13"/>
      <c r="B382" s="278"/>
      <c r="C382" s="279"/>
      <c r="D382" s="278"/>
      <c r="E382" s="279"/>
      <c r="F382" s="244"/>
      <c r="G382" s="245"/>
    </row>
    <row r="383" spans="1:7" ht="18.75" x14ac:dyDescent="0.25">
      <c r="A383" s="13" t="s">
        <v>238</v>
      </c>
      <c r="B383" s="278"/>
      <c r="C383" s="279"/>
      <c r="D383" s="278"/>
      <c r="E383" s="279"/>
      <c r="F383" s="244">
        <f t="shared" si="3"/>
        <v>0</v>
      </c>
      <c r="G383" s="245"/>
    </row>
    <row r="384" spans="1:7" ht="18.75" x14ac:dyDescent="0.25">
      <c r="A384" s="13"/>
      <c r="B384" s="278"/>
      <c r="C384" s="279"/>
      <c r="D384" s="278"/>
      <c r="E384" s="279"/>
      <c r="F384" s="244"/>
      <c r="G384" s="245"/>
    </row>
    <row r="385" spans="1:7" ht="18.75" x14ac:dyDescent="0.25">
      <c r="A385" s="13" t="s">
        <v>239</v>
      </c>
      <c r="B385" s="278"/>
      <c r="C385" s="279"/>
      <c r="D385" s="278"/>
      <c r="E385" s="279"/>
      <c r="F385" s="244">
        <f t="shared" si="3"/>
        <v>0</v>
      </c>
      <c r="G385" s="245"/>
    </row>
    <row r="386" spans="1:7" ht="18.75" x14ac:dyDescent="0.25">
      <c r="A386" s="13"/>
      <c r="B386" s="278"/>
      <c r="C386" s="279"/>
      <c r="D386" s="278"/>
      <c r="E386" s="279"/>
      <c r="F386" s="244"/>
      <c r="G386" s="245"/>
    </row>
    <row r="387" spans="1:7" ht="18.75" x14ac:dyDescent="0.25">
      <c r="A387" s="13" t="s">
        <v>240</v>
      </c>
      <c r="B387" s="278"/>
      <c r="C387" s="279"/>
      <c r="D387" s="278"/>
      <c r="E387" s="279"/>
      <c r="F387" s="244">
        <f t="shared" si="3"/>
        <v>0</v>
      </c>
      <c r="G387" s="245"/>
    </row>
    <row r="388" spans="1:7" ht="18.75" x14ac:dyDescent="0.25">
      <c r="A388" s="13"/>
      <c r="B388" s="278"/>
      <c r="C388" s="279"/>
      <c r="D388" s="278"/>
      <c r="E388" s="279"/>
      <c r="F388" s="244"/>
      <c r="G388" s="245"/>
    </row>
    <row r="389" spans="1:7" ht="18.75" x14ac:dyDescent="0.25">
      <c r="A389" s="13" t="s">
        <v>241</v>
      </c>
      <c r="B389" s="278"/>
      <c r="C389" s="279"/>
      <c r="D389" s="278"/>
      <c r="E389" s="279"/>
      <c r="F389" s="244">
        <f t="shared" si="3"/>
        <v>0</v>
      </c>
      <c r="G389" s="245"/>
    </row>
    <row r="390" spans="1:7" ht="18.75" x14ac:dyDescent="0.25">
      <c r="A390" s="13"/>
      <c r="B390" s="278"/>
      <c r="C390" s="279"/>
      <c r="D390" s="278"/>
      <c r="E390" s="279"/>
      <c r="F390" s="244"/>
      <c r="G390" s="245"/>
    </row>
    <row r="391" spans="1:7" ht="18.75" x14ac:dyDescent="0.25">
      <c r="A391" s="13" t="s">
        <v>242</v>
      </c>
      <c r="B391" s="278"/>
      <c r="C391" s="279"/>
      <c r="D391" s="278"/>
      <c r="E391" s="279"/>
      <c r="F391" s="244">
        <f t="shared" si="3"/>
        <v>0</v>
      </c>
      <c r="G391" s="245"/>
    </row>
    <row r="392" spans="1:7" ht="18.75" x14ac:dyDescent="0.25">
      <c r="A392" s="13"/>
      <c r="B392" s="278"/>
      <c r="C392" s="279"/>
      <c r="D392" s="278"/>
      <c r="E392" s="279"/>
      <c r="F392" s="244"/>
      <c r="G392" s="245"/>
    </row>
    <row r="393" spans="1:7" ht="18.75" x14ac:dyDescent="0.25">
      <c r="A393" s="13" t="s">
        <v>243</v>
      </c>
      <c r="B393" s="278"/>
      <c r="C393" s="279"/>
      <c r="D393" s="278"/>
      <c r="E393" s="279"/>
      <c r="F393" s="244">
        <f t="shared" si="3"/>
        <v>0</v>
      </c>
      <c r="G393" s="245"/>
    </row>
    <row r="394" spans="1:7" ht="18.75" x14ac:dyDescent="0.25">
      <c r="A394" s="15"/>
      <c r="B394" s="16"/>
      <c r="C394" s="16"/>
      <c r="D394" s="16"/>
      <c r="E394" s="16"/>
      <c r="F394" s="78"/>
      <c r="G394" s="78"/>
    </row>
    <row r="395" spans="1:7" ht="18.75" x14ac:dyDescent="0.25">
      <c r="A395" s="29"/>
    </row>
    <row r="396" spans="1:7" ht="37.5" x14ac:dyDescent="0.3">
      <c r="A396" s="29" t="s">
        <v>151</v>
      </c>
      <c r="B396" s="10"/>
      <c r="C396" s="219"/>
      <c r="D396" s="219"/>
      <c r="E396" s="10"/>
      <c r="F396" s="219"/>
      <c r="G396" s="219"/>
    </row>
    <row r="397" spans="1:7" ht="18.75" x14ac:dyDescent="0.3">
      <c r="A397" s="29"/>
      <c r="B397" s="10"/>
      <c r="C397" s="218" t="s">
        <v>53</v>
      </c>
      <c r="D397" s="218"/>
      <c r="E397" s="10"/>
      <c r="F397" s="218" t="s">
        <v>54</v>
      </c>
      <c r="G397" s="218"/>
    </row>
    <row r="398" spans="1:7" ht="18.75" x14ac:dyDescent="0.3">
      <c r="A398" s="29"/>
      <c r="B398" s="10"/>
      <c r="C398" s="53"/>
      <c r="D398" s="53"/>
      <c r="E398" s="10"/>
      <c r="F398" s="53"/>
      <c r="G398" s="53"/>
    </row>
    <row r="399" spans="1:7" ht="56.25" x14ac:dyDescent="0.3">
      <c r="A399" s="29" t="s">
        <v>152</v>
      </c>
      <c r="B399" s="10"/>
      <c r="C399" s="219"/>
      <c r="D399" s="219"/>
      <c r="E399" s="10"/>
      <c r="F399" s="219"/>
      <c r="G399" s="219"/>
    </row>
    <row r="400" spans="1:7" ht="18.75" x14ac:dyDescent="0.3">
      <c r="A400" s="29"/>
      <c r="B400" s="10"/>
      <c r="C400" s="218" t="s">
        <v>53</v>
      </c>
      <c r="D400" s="218"/>
      <c r="E400" s="10"/>
      <c r="F400" s="218" t="s">
        <v>54</v>
      </c>
      <c r="G400" s="218"/>
    </row>
    <row r="401" spans="1:7" ht="18.75" x14ac:dyDescent="0.3">
      <c r="A401" s="29"/>
      <c r="B401" s="10"/>
      <c r="C401" s="53"/>
      <c r="D401" s="53"/>
      <c r="E401" s="10"/>
      <c r="F401" s="53"/>
      <c r="G401" s="53"/>
    </row>
    <row r="402" spans="1:7" ht="18.75" x14ac:dyDescent="0.3">
      <c r="A402" s="29" t="s">
        <v>153</v>
      </c>
      <c r="B402" s="10"/>
      <c r="C402" s="219"/>
      <c r="D402" s="219"/>
      <c r="E402" s="10"/>
      <c r="F402" s="219"/>
      <c r="G402" s="219"/>
    </row>
    <row r="403" spans="1:7" ht="18.75" x14ac:dyDescent="0.3">
      <c r="A403" s="29"/>
      <c r="B403" s="10"/>
      <c r="C403" s="218" t="s">
        <v>53</v>
      </c>
      <c r="D403" s="218"/>
      <c r="E403" s="10"/>
      <c r="F403" s="218" t="s">
        <v>54</v>
      </c>
      <c r="G403" s="218"/>
    </row>
    <row r="404" spans="1:7" ht="18.75" x14ac:dyDescent="0.3">
      <c r="A404" s="29" t="s">
        <v>154</v>
      </c>
      <c r="B404" s="10"/>
      <c r="C404" s="10"/>
      <c r="D404" s="10"/>
      <c r="E404" s="10"/>
      <c r="F404" s="10"/>
      <c r="G404" s="10"/>
    </row>
    <row r="405" spans="1:7" ht="18.75" x14ac:dyDescent="0.3">
      <c r="A405" s="217" t="s">
        <v>44</v>
      </c>
      <c r="B405" s="217"/>
      <c r="C405" s="10"/>
      <c r="D405" s="10"/>
      <c r="E405" s="10"/>
      <c r="F405" s="10"/>
      <c r="G405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A72:G72"/>
    <mergeCell ref="B12:C12"/>
    <mergeCell ref="D12:E12"/>
    <mergeCell ref="F12:G12"/>
    <mergeCell ref="A14:G14"/>
    <mergeCell ref="B18:C18"/>
    <mergeCell ref="D18:E18"/>
    <mergeCell ref="F18:G18"/>
    <mergeCell ref="B24:C24"/>
    <mergeCell ref="D24:E24"/>
    <mergeCell ref="F24:G24"/>
    <mergeCell ref="B10:C10"/>
    <mergeCell ref="D10:E10"/>
    <mergeCell ref="F10:G10"/>
    <mergeCell ref="B11:C11"/>
    <mergeCell ref="D11:E11"/>
    <mergeCell ref="F11:G11"/>
    <mergeCell ref="B83:C83"/>
    <mergeCell ref="D83:E83"/>
    <mergeCell ref="F83:G83"/>
    <mergeCell ref="B84:C84"/>
    <mergeCell ref="D84:E84"/>
    <mergeCell ref="F84:G84"/>
    <mergeCell ref="B19:C19"/>
    <mergeCell ref="D19:E19"/>
    <mergeCell ref="F19:G19"/>
    <mergeCell ref="B20:C20"/>
    <mergeCell ref="D20:E20"/>
    <mergeCell ref="F20:G20"/>
    <mergeCell ref="B26:C26"/>
    <mergeCell ref="D26:E26"/>
    <mergeCell ref="F26:G26"/>
    <mergeCell ref="B30:C30"/>
    <mergeCell ref="D30:E30"/>
    <mergeCell ref="F30:G30"/>
    <mergeCell ref="B25:C25"/>
    <mergeCell ref="D25:E25"/>
    <mergeCell ref="F25:G25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77:C77"/>
    <mergeCell ref="D77:E77"/>
    <mergeCell ref="F77:G77"/>
    <mergeCell ref="B78:C78"/>
    <mergeCell ref="D78:E78"/>
    <mergeCell ref="F78:G78"/>
    <mergeCell ref="B82:C82"/>
    <mergeCell ref="B64:C64"/>
    <mergeCell ref="D64:E64"/>
    <mergeCell ref="F64:G64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6:C76"/>
    <mergeCell ref="D76:E76"/>
    <mergeCell ref="F76:G76"/>
    <mergeCell ref="D82:E82"/>
    <mergeCell ref="F82:G82"/>
    <mergeCell ref="A109:G109"/>
    <mergeCell ref="B113:C113"/>
    <mergeCell ref="D113:E113"/>
    <mergeCell ref="F113:G113"/>
    <mergeCell ref="B114:C114"/>
    <mergeCell ref="D114:E114"/>
    <mergeCell ref="F114:G114"/>
    <mergeCell ref="A96:G96"/>
    <mergeCell ref="A98:G98"/>
    <mergeCell ref="A102:A104"/>
    <mergeCell ref="B102:B104"/>
    <mergeCell ref="C102:F102"/>
    <mergeCell ref="G102:G104"/>
    <mergeCell ref="C103:C104"/>
    <mergeCell ref="D103:F103"/>
    <mergeCell ref="C122:D122"/>
    <mergeCell ref="F122:G122"/>
    <mergeCell ref="C123:D123"/>
    <mergeCell ref="F123:G123"/>
    <mergeCell ref="A125:G125"/>
    <mergeCell ref="C129:E129"/>
    <mergeCell ref="F129:G129"/>
    <mergeCell ref="B115:C115"/>
    <mergeCell ref="D115:E115"/>
    <mergeCell ref="F115:G115"/>
    <mergeCell ref="A117:G117"/>
    <mergeCell ref="C121:D121"/>
    <mergeCell ref="F121:G121"/>
    <mergeCell ref="A138:B138"/>
    <mergeCell ref="D138:E138"/>
    <mergeCell ref="F138:G138"/>
    <mergeCell ref="A139:B139"/>
    <mergeCell ref="D139:E139"/>
    <mergeCell ref="F139:G139"/>
    <mergeCell ref="C130:E130"/>
    <mergeCell ref="F130:G130"/>
    <mergeCell ref="C131:E131"/>
    <mergeCell ref="F131:G131"/>
    <mergeCell ref="A133:G133"/>
    <mergeCell ref="A137:B137"/>
    <mergeCell ref="D137:E137"/>
    <mergeCell ref="F137:G137"/>
    <mergeCell ref="A149:G149"/>
    <mergeCell ref="C153:D153"/>
    <mergeCell ref="F153:G153"/>
    <mergeCell ref="C154:D154"/>
    <mergeCell ref="F154:G154"/>
    <mergeCell ref="C155:D155"/>
    <mergeCell ref="F155:G155"/>
    <mergeCell ref="A141:G141"/>
    <mergeCell ref="C145:D145"/>
    <mergeCell ref="F145:G145"/>
    <mergeCell ref="C146:D146"/>
    <mergeCell ref="F146:G146"/>
    <mergeCell ref="C147:D147"/>
    <mergeCell ref="F147:G147"/>
    <mergeCell ref="C162:D162"/>
    <mergeCell ref="F162:G162"/>
    <mergeCell ref="A164:G164"/>
    <mergeCell ref="B168:C168"/>
    <mergeCell ref="D168:E168"/>
    <mergeCell ref="F168:G168"/>
    <mergeCell ref="C159:D159"/>
    <mergeCell ref="F159:G159"/>
    <mergeCell ref="C160:D160"/>
    <mergeCell ref="F160:G160"/>
    <mergeCell ref="C161:D161"/>
    <mergeCell ref="F161:G161"/>
    <mergeCell ref="D174:E174"/>
    <mergeCell ref="F174:G174"/>
    <mergeCell ref="D175:E175"/>
    <mergeCell ref="F175:G175"/>
    <mergeCell ref="D176:E176"/>
    <mergeCell ref="F176:G176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A178:G178"/>
    <mergeCell ref="B182:C182"/>
    <mergeCell ref="D182:E182"/>
    <mergeCell ref="F182:G182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3"/>
    <mergeCell ref="A187:G187"/>
    <mergeCell ref="B190:C190"/>
    <mergeCell ref="D190:E190"/>
    <mergeCell ref="F190:G190"/>
    <mergeCell ref="B191:C191"/>
    <mergeCell ref="D191:E191"/>
    <mergeCell ref="F191:G191"/>
    <mergeCell ref="B199:C199"/>
    <mergeCell ref="D199:E199"/>
    <mergeCell ref="F199:G199"/>
    <mergeCell ref="B200:C200"/>
    <mergeCell ref="D200:E200"/>
    <mergeCell ref="F200:G200"/>
    <mergeCell ref="B197:C197"/>
    <mergeCell ref="D197:E197"/>
    <mergeCell ref="F197:G197"/>
    <mergeCell ref="B198:C198"/>
    <mergeCell ref="D198:E198"/>
    <mergeCell ref="F198:G198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215:C215"/>
    <mergeCell ref="D215:E215"/>
    <mergeCell ref="F215:G215"/>
    <mergeCell ref="B216:C216"/>
    <mergeCell ref="D216:E216"/>
    <mergeCell ref="F216:G216"/>
    <mergeCell ref="A209:G209"/>
    <mergeCell ref="B213:C213"/>
    <mergeCell ref="D213:E213"/>
    <mergeCell ref="F213:G213"/>
    <mergeCell ref="B214:C214"/>
    <mergeCell ref="D214:E214"/>
    <mergeCell ref="F214:G214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29:C229"/>
    <mergeCell ref="D229:E229"/>
    <mergeCell ref="F229:G229"/>
    <mergeCell ref="B230:C230"/>
    <mergeCell ref="D230:E230"/>
    <mergeCell ref="F230:G230"/>
    <mergeCell ref="B227:C227"/>
    <mergeCell ref="D227:E227"/>
    <mergeCell ref="F227:G227"/>
    <mergeCell ref="B228:C228"/>
    <mergeCell ref="D228:E228"/>
    <mergeCell ref="F228:G228"/>
    <mergeCell ref="A249:G249"/>
    <mergeCell ref="A250:G250"/>
    <mergeCell ref="B254:C254"/>
    <mergeCell ref="D254:E254"/>
    <mergeCell ref="F254:G254"/>
    <mergeCell ref="A232:G232"/>
    <mergeCell ref="B235:C235"/>
    <mergeCell ref="D235:E235"/>
    <mergeCell ref="F235:G235"/>
    <mergeCell ref="B236:C236"/>
    <mergeCell ref="D236:E236"/>
    <mergeCell ref="F236:G236"/>
    <mergeCell ref="B240:C240"/>
    <mergeCell ref="D240:E240"/>
    <mergeCell ref="F240:G240"/>
    <mergeCell ref="B241:C241"/>
    <mergeCell ref="D241:E241"/>
    <mergeCell ref="F241:G241"/>
    <mergeCell ref="D245:E245"/>
    <mergeCell ref="F245:G245"/>
    <mergeCell ref="B242:C242"/>
    <mergeCell ref="D242:E242"/>
    <mergeCell ref="F242:G242"/>
    <mergeCell ref="B243:C243"/>
    <mergeCell ref="B257:C257"/>
    <mergeCell ref="D257:E257"/>
    <mergeCell ref="F257:G257"/>
    <mergeCell ref="A259:G259"/>
    <mergeCell ref="B263:C263"/>
    <mergeCell ref="D263:E263"/>
    <mergeCell ref="F263:G263"/>
    <mergeCell ref="B255:C255"/>
    <mergeCell ref="D255:E255"/>
    <mergeCell ref="F255:G255"/>
    <mergeCell ref="B256:C256"/>
    <mergeCell ref="D256:E256"/>
    <mergeCell ref="F256:G256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75:C275"/>
    <mergeCell ref="D275:E275"/>
    <mergeCell ref="F275:G275"/>
    <mergeCell ref="B276:C276"/>
    <mergeCell ref="D276:E276"/>
    <mergeCell ref="F276:G276"/>
    <mergeCell ref="A269:G269"/>
    <mergeCell ref="B273:C273"/>
    <mergeCell ref="D273:E273"/>
    <mergeCell ref="F273:G273"/>
    <mergeCell ref="B274:C274"/>
    <mergeCell ref="D274:E274"/>
    <mergeCell ref="F274:G274"/>
    <mergeCell ref="B284:C284"/>
    <mergeCell ref="D284:E284"/>
    <mergeCell ref="F284:G284"/>
    <mergeCell ref="B285:C285"/>
    <mergeCell ref="D285:E285"/>
    <mergeCell ref="F285:G285"/>
    <mergeCell ref="A278:G278"/>
    <mergeCell ref="B282:C282"/>
    <mergeCell ref="D282:E282"/>
    <mergeCell ref="F282:G282"/>
    <mergeCell ref="B283:C283"/>
    <mergeCell ref="D283:E283"/>
    <mergeCell ref="F283:G283"/>
    <mergeCell ref="B288:C288"/>
    <mergeCell ref="D288:E288"/>
    <mergeCell ref="F288:G288"/>
    <mergeCell ref="A290:G290"/>
    <mergeCell ref="B294:C294"/>
    <mergeCell ref="D294:E294"/>
    <mergeCell ref="F294:G294"/>
    <mergeCell ref="B286:C286"/>
    <mergeCell ref="D286:E286"/>
    <mergeCell ref="F286:G286"/>
    <mergeCell ref="B287:C287"/>
    <mergeCell ref="D287:E287"/>
    <mergeCell ref="F287:G287"/>
    <mergeCell ref="B297:C297"/>
    <mergeCell ref="D297:E297"/>
    <mergeCell ref="F297:G297"/>
    <mergeCell ref="A299:G299"/>
    <mergeCell ref="A303:C303"/>
    <mergeCell ref="D303:E303"/>
    <mergeCell ref="F303:G303"/>
    <mergeCell ref="B295:C295"/>
    <mergeCell ref="D295:E295"/>
    <mergeCell ref="F295:G295"/>
    <mergeCell ref="B296:C296"/>
    <mergeCell ref="D296:E296"/>
    <mergeCell ref="F296:G296"/>
    <mergeCell ref="A306:C306"/>
    <mergeCell ref="D306:E306"/>
    <mergeCell ref="F306:G306"/>
    <mergeCell ref="A310:C310"/>
    <mergeCell ref="D310:E310"/>
    <mergeCell ref="F310:G310"/>
    <mergeCell ref="A304:C304"/>
    <mergeCell ref="D304:E304"/>
    <mergeCell ref="F304:G304"/>
    <mergeCell ref="A305:C305"/>
    <mergeCell ref="D305:E305"/>
    <mergeCell ref="F305:G305"/>
    <mergeCell ref="A313:C313"/>
    <mergeCell ref="D313:E313"/>
    <mergeCell ref="F313:G313"/>
    <mergeCell ref="A314:C314"/>
    <mergeCell ref="D314:E314"/>
    <mergeCell ref="F314:G314"/>
    <mergeCell ref="A311:C311"/>
    <mergeCell ref="D311:E311"/>
    <mergeCell ref="F311:G311"/>
    <mergeCell ref="A312:C312"/>
    <mergeCell ref="D312:E312"/>
    <mergeCell ref="F312:G312"/>
    <mergeCell ref="A318:G318"/>
    <mergeCell ref="A322:C322"/>
    <mergeCell ref="D322:E322"/>
    <mergeCell ref="F322:G322"/>
    <mergeCell ref="A323:C323"/>
    <mergeCell ref="D323:E323"/>
    <mergeCell ref="F323:G323"/>
    <mergeCell ref="A315:C315"/>
    <mergeCell ref="D315:E315"/>
    <mergeCell ref="F315:G315"/>
    <mergeCell ref="A316:C316"/>
    <mergeCell ref="D316:E316"/>
    <mergeCell ref="F316:G316"/>
    <mergeCell ref="F329:G329"/>
    <mergeCell ref="A330:C330"/>
    <mergeCell ref="D330:E330"/>
    <mergeCell ref="F330:G330"/>
    <mergeCell ref="A324:C324"/>
    <mergeCell ref="D324:E324"/>
    <mergeCell ref="F324:G324"/>
    <mergeCell ref="A325:C325"/>
    <mergeCell ref="D325:E325"/>
    <mergeCell ref="F325:G325"/>
    <mergeCell ref="A356:G356"/>
    <mergeCell ref="B360:C360"/>
    <mergeCell ref="D360:E360"/>
    <mergeCell ref="F360:G360"/>
    <mergeCell ref="B361:C361"/>
    <mergeCell ref="D361:E361"/>
    <mergeCell ref="F361:G361"/>
    <mergeCell ref="B353:C353"/>
    <mergeCell ref="D353:E353"/>
    <mergeCell ref="F353:G353"/>
    <mergeCell ref="B354:C354"/>
    <mergeCell ref="D354:E354"/>
    <mergeCell ref="F354:G354"/>
    <mergeCell ref="A374:G374"/>
    <mergeCell ref="B378:C378"/>
    <mergeCell ref="D378:E378"/>
    <mergeCell ref="F378:G378"/>
    <mergeCell ref="B379:C379"/>
    <mergeCell ref="D379:E379"/>
    <mergeCell ref="F379:G379"/>
    <mergeCell ref="B362:C362"/>
    <mergeCell ref="D362:E362"/>
    <mergeCell ref="F362:G362"/>
    <mergeCell ref="B363:C363"/>
    <mergeCell ref="D363:E363"/>
    <mergeCell ref="F363:G363"/>
    <mergeCell ref="B371:C371"/>
    <mergeCell ref="D371:E371"/>
    <mergeCell ref="F371:G371"/>
    <mergeCell ref="B372:C372"/>
    <mergeCell ref="D372:E372"/>
    <mergeCell ref="F372:G372"/>
    <mergeCell ref="A365:G365"/>
    <mergeCell ref="B369:C369"/>
    <mergeCell ref="D369:E369"/>
    <mergeCell ref="F369:G369"/>
    <mergeCell ref="B370:C370"/>
    <mergeCell ref="B382:C382"/>
    <mergeCell ref="D382:E382"/>
    <mergeCell ref="F382:G382"/>
    <mergeCell ref="B383:C383"/>
    <mergeCell ref="D383:E383"/>
    <mergeCell ref="F383:G383"/>
    <mergeCell ref="B380:C380"/>
    <mergeCell ref="D380:E380"/>
    <mergeCell ref="F380:G380"/>
    <mergeCell ref="B381:C381"/>
    <mergeCell ref="D381:E381"/>
    <mergeCell ref="F381:G381"/>
    <mergeCell ref="B386:C386"/>
    <mergeCell ref="D386:E386"/>
    <mergeCell ref="F386:G386"/>
    <mergeCell ref="B387:C387"/>
    <mergeCell ref="D387:E387"/>
    <mergeCell ref="F387:G387"/>
    <mergeCell ref="B384:C384"/>
    <mergeCell ref="D384:E384"/>
    <mergeCell ref="F384:G384"/>
    <mergeCell ref="B385:C385"/>
    <mergeCell ref="D385:E385"/>
    <mergeCell ref="F385:G385"/>
    <mergeCell ref="B390:C390"/>
    <mergeCell ref="D390:E390"/>
    <mergeCell ref="F390:G390"/>
    <mergeCell ref="B391:C391"/>
    <mergeCell ref="D391:E391"/>
    <mergeCell ref="F391:G391"/>
    <mergeCell ref="B388:C388"/>
    <mergeCell ref="D388:E388"/>
    <mergeCell ref="F388:G388"/>
    <mergeCell ref="B389:C389"/>
    <mergeCell ref="D389:E389"/>
    <mergeCell ref="F389:G389"/>
    <mergeCell ref="C397:D397"/>
    <mergeCell ref="F397:G397"/>
    <mergeCell ref="C399:D399"/>
    <mergeCell ref="F399:G399"/>
    <mergeCell ref="B392:C392"/>
    <mergeCell ref="D392:E392"/>
    <mergeCell ref="F392:G392"/>
    <mergeCell ref="B393:C393"/>
    <mergeCell ref="D393:E393"/>
    <mergeCell ref="F393:G393"/>
    <mergeCell ref="A405:B405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C400:D400"/>
    <mergeCell ref="F400:G400"/>
    <mergeCell ref="C402:D402"/>
    <mergeCell ref="F402:G402"/>
    <mergeCell ref="C403:D403"/>
    <mergeCell ref="F403:G403"/>
    <mergeCell ref="C396:D396"/>
    <mergeCell ref="F396:G396"/>
    <mergeCell ref="A343:B343"/>
    <mergeCell ref="C343:D343"/>
    <mergeCell ref="B244:C244"/>
    <mergeCell ref="D244:E244"/>
    <mergeCell ref="F244:G244"/>
    <mergeCell ref="B245:C245"/>
    <mergeCell ref="D243:E243"/>
    <mergeCell ref="F243:G243"/>
    <mergeCell ref="E343:G343"/>
    <mergeCell ref="A336:G336"/>
    <mergeCell ref="A340:B340"/>
    <mergeCell ref="C340:D340"/>
    <mergeCell ref="E340:G340"/>
    <mergeCell ref="A341:B341"/>
    <mergeCell ref="C341:D341"/>
    <mergeCell ref="E341:G341"/>
    <mergeCell ref="A333:C333"/>
    <mergeCell ref="D333:E333"/>
    <mergeCell ref="F333:G333"/>
    <mergeCell ref="A334:C334"/>
    <mergeCell ref="D334:E334"/>
    <mergeCell ref="F334:G334"/>
    <mergeCell ref="A331:C331"/>
    <mergeCell ref="D331:E331"/>
    <mergeCell ref="F331:G331"/>
    <mergeCell ref="A332:C332"/>
    <mergeCell ref="D332:E332"/>
    <mergeCell ref="F332:G332"/>
    <mergeCell ref="A329:C329"/>
    <mergeCell ref="D329:E329"/>
    <mergeCell ref="D370:E370"/>
    <mergeCell ref="F370:G370"/>
    <mergeCell ref="F351:G351"/>
    <mergeCell ref="F352:G352"/>
    <mergeCell ref="B351:C351"/>
    <mergeCell ref="D351:E351"/>
    <mergeCell ref="B352:C352"/>
    <mergeCell ref="D352:E352"/>
    <mergeCell ref="B246:C246"/>
    <mergeCell ref="D246:E246"/>
    <mergeCell ref="F246:G246"/>
    <mergeCell ref="B247:C247"/>
    <mergeCell ref="D247:E247"/>
    <mergeCell ref="F247:G247"/>
    <mergeCell ref="A345:G345"/>
    <mergeCell ref="B349:C349"/>
    <mergeCell ref="D349:E349"/>
    <mergeCell ref="F349:G349"/>
    <mergeCell ref="B350:C350"/>
    <mergeCell ref="D350:E350"/>
    <mergeCell ref="F350:G350"/>
    <mergeCell ref="A342:B342"/>
    <mergeCell ref="C342:D342"/>
    <mergeCell ref="E342:G342"/>
    <mergeCell ref="B93:C93"/>
    <mergeCell ref="D93:E93"/>
    <mergeCell ref="F93:G93"/>
    <mergeCell ref="B94:C94"/>
    <mergeCell ref="D94:E94"/>
    <mergeCell ref="F94:G94"/>
    <mergeCell ref="A86:G86"/>
    <mergeCell ref="B90:C90"/>
    <mergeCell ref="D90:E90"/>
    <mergeCell ref="F90:G90"/>
    <mergeCell ref="B91:C91"/>
    <mergeCell ref="D91:E91"/>
    <mergeCell ref="F91:G91"/>
    <mergeCell ref="B92:C92"/>
    <mergeCell ref="D92:E92"/>
    <mergeCell ref="F92:G92"/>
  </mergeCells>
  <pageMargins left="1.3779527559055118" right="0.39370078740157483" top="0.98425196850393704" bottom="0.78740157480314965" header="0.31496062992125984" footer="0.31496062992125984"/>
  <pageSetup paperSize="9" scale="60" orientation="portrait" r:id="rId1"/>
  <rowBreaks count="10" manualBreakCount="10">
    <brk id="40" max="6" man="1"/>
    <brk id="79" max="16383" man="1"/>
    <brk id="116" max="16383" man="1"/>
    <brk id="148" max="16383" man="1"/>
    <brk id="176" max="16383" man="1"/>
    <brk id="208" max="16383" man="1"/>
    <brk id="257" max="16383" man="1"/>
    <brk id="297" max="16383" man="1"/>
    <brk id="343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9"/>
  <sheetViews>
    <sheetView view="pageBreakPreview" topLeftCell="A315" zoomScale="85" zoomScaleNormal="85" zoomScaleSheetLayoutView="85" workbookViewId="0">
      <selection activeCell="A344" sqref="A344"/>
    </sheetView>
  </sheetViews>
  <sheetFormatPr defaultColWidth="8.85546875" defaultRowHeight="15" x14ac:dyDescent="0.25"/>
  <cols>
    <col min="1" max="1" width="38.42578125" style="7" customWidth="1"/>
    <col min="2" max="2" width="17.28515625" style="7" customWidth="1"/>
    <col min="3" max="6" width="16.42578125" style="7" customWidth="1"/>
    <col min="7" max="7" width="16.28515625" style="7" customWidth="1"/>
    <col min="8" max="8" width="17" style="7" customWidth="1"/>
    <col min="9" max="9" width="12.42578125" style="7" customWidth="1"/>
    <col min="10" max="10" width="13" style="7" customWidth="1"/>
    <col min="11" max="11" width="14.5703125" style="7" customWidth="1"/>
    <col min="12" max="16384" width="8.85546875" style="7"/>
  </cols>
  <sheetData>
    <row r="1" spans="1:7" ht="40.15" customHeight="1" x14ac:dyDescent="0.25">
      <c r="A1" s="284" t="s">
        <v>342</v>
      </c>
      <c r="B1" s="284"/>
      <c r="C1" s="284"/>
      <c r="D1" s="284"/>
      <c r="E1" s="284"/>
      <c r="F1" s="284"/>
      <c r="G1" s="284"/>
    </row>
    <row r="2" spans="1:7" ht="18.75" x14ac:dyDescent="0.25">
      <c r="A2" s="108"/>
      <c r="B2" s="108"/>
      <c r="C2" s="108"/>
      <c r="D2" s="108"/>
      <c r="E2" s="108"/>
      <c r="F2" s="108"/>
      <c r="G2" s="108"/>
    </row>
    <row r="3" spans="1:7" ht="35.450000000000003" customHeight="1" x14ac:dyDescent="0.25">
      <c r="A3" s="284" t="s">
        <v>343</v>
      </c>
      <c r="B3" s="284"/>
      <c r="C3" s="284"/>
      <c r="D3" s="284"/>
      <c r="E3" s="284"/>
      <c r="F3" s="284"/>
      <c r="G3" s="284"/>
    </row>
    <row r="4" spans="1:7" ht="18.75" customHeight="1" x14ac:dyDescent="0.25">
      <c r="A4" s="105"/>
    </row>
    <row r="5" spans="1:7" ht="43.9" customHeight="1" x14ac:dyDescent="0.25">
      <c r="A5" s="284" t="s">
        <v>174</v>
      </c>
      <c r="B5" s="284"/>
      <c r="C5" s="284"/>
      <c r="D5" s="284"/>
      <c r="E5" s="284"/>
      <c r="F5" s="284"/>
      <c r="G5" s="284"/>
    </row>
    <row r="6" spans="1:7" ht="18.75" x14ac:dyDescent="0.25">
      <c r="A6" s="108"/>
      <c r="B6" s="108"/>
      <c r="C6" s="108"/>
      <c r="D6" s="108"/>
      <c r="E6" s="108"/>
      <c r="F6" s="108"/>
      <c r="G6" s="108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55.9" customHeight="1" x14ac:dyDescent="0.25">
      <c r="A9" s="106" t="s">
        <v>86</v>
      </c>
      <c r="B9" s="270" t="s">
        <v>172</v>
      </c>
      <c r="C9" s="270"/>
      <c r="D9" s="270" t="s">
        <v>173</v>
      </c>
      <c r="E9" s="270"/>
      <c r="F9" s="270" t="s">
        <v>171</v>
      </c>
      <c r="G9" s="270"/>
    </row>
    <row r="10" spans="1:7" ht="18.75" x14ac:dyDescent="0.25">
      <c r="A10" s="106">
        <v>1</v>
      </c>
      <c r="B10" s="270">
        <v>2</v>
      </c>
      <c r="C10" s="270"/>
      <c r="D10" s="270">
        <v>3</v>
      </c>
      <c r="E10" s="270"/>
      <c r="F10" s="270">
        <v>4</v>
      </c>
      <c r="G10" s="270"/>
    </row>
    <row r="11" spans="1:7" ht="56.25" x14ac:dyDescent="0.25">
      <c r="A11" s="13" t="s">
        <v>69</v>
      </c>
      <c r="B11" s="270" t="s">
        <v>117</v>
      </c>
      <c r="C11" s="270"/>
      <c r="D11" s="270" t="s">
        <v>117</v>
      </c>
      <c r="E11" s="270"/>
      <c r="F11" s="273">
        <f>'гос.зад на 2022 год '!D12</f>
        <v>161654057.26999998</v>
      </c>
      <c r="G11" s="273"/>
    </row>
    <row r="12" spans="1:7" ht="18.75" x14ac:dyDescent="0.25">
      <c r="A12" s="15"/>
      <c r="B12" s="19"/>
      <c r="C12" s="19"/>
      <c r="D12" s="19"/>
      <c r="E12" s="19"/>
      <c r="F12" s="82"/>
      <c r="G12" s="82"/>
    </row>
    <row r="13" spans="1:7" ht="48.6" customHeight="1" x14ac:dyDescent="0.25">
      <c r="A13" s="284" t="s">
        <v>344</v>
      </c>
      <c r="B13" s="284"/>
      <c r="C13" s="284"/>
      <c r="D13" s="284"/>
      <c r="E13" s="284"/>
      <c r="F13" s="284"/>
      <c r="G13" s="284"/>
    </row>
    <row r="14" spans="1:7" ht="18.75" x14ac:dyDescent="0.25">
      <c r="A14" s="8"/>
    </row>
    <row r="15" spans="1:7" ht="18.75" x14ac:dyDescent="0.25">
      <c r="A15" s="269" t="s">
        <v>189</v>
      </c>
      <c r="B15" s="269"/>
      <c r="C15" s="269"/>
      <c r="D15" s="269"/>
      <c r="E15" s="269"/>
      <c r="F15" s="269"/>
      <c r="G15" s="269"/>
    </row>
    <row r="16" spans="1:7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54" customHeight="1" x14ac:dyDescent="0.25">
      <c r="A19" s="270" t="s">
        <v>76</v>
      </c>
      <c r="B19" s="270" t="s">
        <v>77</v>
      </c>
      <c r="C19" s="270" t="s">
        <v>78</v>
      </c>
      <c r="D19" s="270"/>
      <c r="E19" s="270"/>
      <c r="F19" s="270"/>
      <c r="G19" s="270" t="s">
        <v>79</v>
      </c>
    </row>
    <row r="20" spans="1:7" ht="18.75" x14ac:dyDescent="0.25">
      <c r="A20" s="270"/>
      <c r="B20" s="270"/>
      <c r="C20" s="270" t="s">
        <v>80</v>
      </c>
      <c r="D20" s="270" t="s">
        <v>6</v>
      </c>
      <c r="E20" s="270"/>
      <c r="F20" s="270"/>
      <c r="G20" s="270"/>
    </row>
    <row r="21" spans="1:7" ht="75" x14ac:dyDescent="0.25">
      <c r="A21" s="270"/>
      <c r="B21" s="270"/>
      <c r="C21" s="270"/>
      <c r="D21" s="12" t="s">
        <v>81</v>
      </c>
      <c r="E21" s="12" t="s">
        <v>82</v>
      </c>
      <c r="F21" s="12" t="s">
        <v>83</v>
      </c>
      <c r="G21" s="270"/>
    </row>
    <row r="22" spans="1:7" ht="18.75" x14ac:dyDescent="0.25">
      <c r="A22" s="177">
        <v>1</v>
      </c>
      <c r="B22" s="177">
        <v>2</v>
      </c>
      <c r="C22" s="177">
        <v>3</v>
      </c>
      <c r="D22" s="177">
        <v>4</v>
      </c>
      <c r="E22" s="177">
        <v>4</v>
      </c>
      <c r="F22" s="177">
        <v>5</v>
      </c>
      <c r="G22" s="177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6" si="0">D23+E23+F23</f>
        <v>61040</v>
      </c>
      <c r="D23" s="130">
        <v>17440</v>
      </c>
      <c r="E23" s="131"/>
      <c r="F23" s="132">
        <f>D23*250%</f>
        <v>43600</v>
      </c>
      <c r="G23" s="133">
        <f>C23*B23*12</f>
        <v>732480</v>
      </c>
    </row>
    <row r="24" spans="1:7" ht="31.5" x14ac:dyDescent="0.25">
      <c r="A24" s="134" t="s">
        <v>307</v>
      </c>
      <c r="B24" s="135">
        <v>1</v>
      </c>
      <c r="C24" s="130">
        <f t="shared" si="0"/>
        <v>45518.399999999994</v>
      </c>
      <c r="D24" s="136">
        <v>15696</v>
      </c>
      <c r="E24" s="131"/>
      <c r="F24" s="132">
        <f>D24*190%</f>
        <v>29822.399999999998</v>
      </c>
      <c r="G24" s="133">
        <f t="shared" ref="G24:G65" si="1">C24*B24*12</f>
        <v>546220.79999999993</v>
      </c>
    </row>
    <row r="25" spans="1:7" ht="63" x14ac:dyDescent="0.25">
      <c r="A25" s="137" t="s">
        <v>308</v>
      </c>
      <c r="B25" s="135">
        <v>1</v>
      </c>
      <c r="C25" s="130">
        <f t="shared" si="0"/>
        <v>45518.399999999994</v>
      </c>
      <c r="D25" s="136">
        <v>15696</v>
      </c>
      <c r="E25" s="131"/>
      <c r="F25" s="132">
        <f>D25*190%</f>
        <v>29822.399999999998</v>
      </c>
      <c r="G25" s="133">
        <f t="shared" si="1"/>
        <v>546220.79999999993</v>
      </c>
    </row>
    <row r="26" spans="1:7" ht="63" x14ac:dyDescent="0.25">
      <c r="A26" s="134" t="s">
        <v>442</v>
      </c>
      <c r="B26" s="135">
        <v>1</v>
      </c>
      <c r="C26" s="130">
        <f t="shared" si="0"/>
        <v>46303.199999999997</v>
      </c>
      <c r="D26" s="136">
        <v>15696</v>
      </c>
      <c r="E26" s="131"/>
      <c r="F26" s="132">
        <f>D26*195%</f>
        <v>30607.200000000001</v>
      </c>
      <c r="G26" s="133">
        <f t="shared" si="1"/>
        <v>555638.39999999991</v>
      </c>
    </row>
    <row r="27" spans="1:7" ht="15.75" x14ac:dyDescent="0.25">
      <c r="A27" s="134" t="s">
        <v>338</v>
      </c>
      <c r="B27" s="135">
        <v>1</v>
      </c>
      <c r="C27" s="130">
        <f t="shared" si="0"/>
        <v>41693.5</v>
      </c>
      <c r="D27" s="136">
        <v>13670</v>
      </c>
      <c r="E27" s="131"/>
      <c r="F27" s="132">
        <f>D27*205%</f>
        <v>28023.499999999996</v>
      </c>
      <c r="G27" s="133">
        <f t="shared" si="1"/>
        <v>500322</v>
      </c>
    </row>
    <row r="28" spans="1:7" ht="15.75" x14ac:dyDescent="0.25">
      <c r="A28" s="134" t="s">
        <v>309</v>
      </c>
      <c r="B28" s="135">
        <v>1</v>
      </c>
      <c r="C28" s="130">
        <f t="shared" si="0"/>
        <v>49442.400000000001</v>
      </c>
      <c r="D28" s="136">
        <v>15696</v>
      </c>
      <c r="E28" s="131"/>
      <c r="F28" s="132">
        <f>D28*215%</f>
        <v>33746.400000000001</v>
      </c>
      <c r="G28" s="133">
        <f t="shared" si="1"/>
        <v>593308.80000000005</v>
      </c>
    </row>
    <row r="29" spans="1:7" ht="15.75" x14ac:dyDescent="0.25">
      <c r="A29" s="134" t="s">
        <v>339</v>
      </c>
      <c r="B29" s="135">
        <v>1</v>
      </c>
      <c r="C29" s="130">
        <f>D29+E29+F29</f>
        <v>35750</v>
      </c>
      <c r="D29" s="136">
        <v>11000</v>
      </c>
      <c r="E29" s="131"/>
      <c r="F29" s="132">
        <f>D29*225%</f>
        <v>24750</v>
      </c>
      <c r="G29" s="133">
        <f>C29*B29*12</f>
        <v>429000</v>
      </c>
    </row>
    <row r="30" spans="1:7" ht="15.75" x14ac:dyDescent="0.25">
      <c r="A30" s="180" t="s">
        <v>312</v>
      </c>
      <c r="B30" s="181">
        <f>SUM(B23:B29)</f>
        <v>7</v>
      </c>
      <c r="C30" s="182">
        <f>SUM(C23:C29)</f>
        <v>325265.90000000002</v>
      </c>
      <c r="D30" s="183">
        <f>SUM(D23:D29)</f>
        <v>104894</v>
      </c>
      <c r="E30" s="147"/>
      <c r="F30" s="148">
        <f>SUM(F23:F29)</f>
        <v>220371.9</v>
      </c>
      <c r="G30" s="184">
        <f>SUM(G23:G29)</f>
        <v>3903190.8</v>
      </c>
    </row>
    <row r="31" spans="1:7" ht="15.75" x14ac:dyDescent="0.25">
      <c r="A31" s="288" t="s">
        <v>361</v>
      </c>
      <c r="B31" s="289"/>
      <c r="C31" s="289"/>
      <c r="D31" s="289"/>
      <c r="E31" s="289"/>
      <c r="F31" s="289"/>
      <c r="G31" s="290"/>
    </row>
    <row r="32" spans="1:7" ht="15.75" x14ac:dyDescent="0.25">
      <c r="A32" s="134" t="s">
        <v>359</v>
      </c>
      <c r="B32" s="135">
        <v>1</v>
      </c>
      <c r="C32" s="130">
        <f t="shared" ref="C32" si="2">D32+E32+F32</f>
        <v>45111</v>
      </c>
      <c r="D32" s="136">
        <v>13670</v>
      </c>
      <c r="E32" s="131"/>
      <c r="F32" s="132">
        <f>D32*230%</f>
        <v>31440.999999999996</v>
      </c>
      <c r="G32" s="133">
        <f>C32*B32*12</f>
        <v>541332</v>
      </c>
    </row>
    <row r="33" spans="1:7" ht="15.75" x14ac:dyDescent="0.25">
      <c r="A33" s="134" t="s">
        <v>310</v>
      </c>
      <c r="B33" s="135">
        <v>1</v>
      </c>
      <c r="C33" s="130">
        <f t="shared" si="0"/>
        <v>45111</v>
      </c>
      <c r="D33" s="136">
        <v>13670</v>
      </c>
      <c r="E33" s="131"/>
      <c r="F33" s="132">
        <f>D33*230%</f>
        <v>31440.999999999996</v>
      </c>
      <c r="G33" s="133">
        <f t="shared" si="1"/>
        <v>541332</v>
      </c>
    </row>
    <row r="34" spans="1:7" ht="15.75" x14ac:dyDescent="0.25">
      <c r="A34" s="134" t="s">
        <v>340</v>
      </c>
      <c r="B34" s="135">
        <v>1</v>
      </c>
      <c r="C34" s="130">
        <f t="shared" si="0"/>
        <v>45111</v>
      </c>
      <c r="D34" s="136">
        <v>13670</v>
      </c>
      <c r="E34" s="131"/>
      <c r="F34" s="132">
        <f>D34*230%</f>
        <v>31440.999999999996</v>
      </c>
      <c r="G34" s="133">
        <f t="shared" si="1"/>
        <v>541332</v>
      </c>
    </row>
    <row r="35" spans="1:7" ht="15.75" x14ac:dyDescent="0.25">
      <c r="A35" s="134" t="s">
        <v>362</v>
      </c>
      <c r="B35" s="135">
        <v>1</v>
      </c>
      <c r="C35" s="130">
        <f t="shared" ref="C35" si="3">D35+E35+F35</f>
        <v>39180</v>
      </c>
      <c r="D35" s="136">
        <v>13060</v>
      </c>
      <c r="E35" s="131"/>
      <c r="F35" s="132">
        <f>D35*200%</f>
        <v>26120</v>
      </c>
      <c r="G35" s="133">
        <f t="shared" ref="G35" si="4">C35*B35*12</f>
        <v>470160</v>
      </c>
    </row>
    <row r="36" spans="1:7" ht="15.75" x14ac:dyDescent="0.25">
      <c r="A36" s="138" t="s">
        <v>355</v>
      </c>
      <c r="B36" s="139">
        <v>1</v>
      </c>
      <c r="C36" s="130">
        <f t="shared" si="0"/>
        <v>39180</v>
      </c>
      <c r="D36" s="140">
        <v>13060</v>
      </c>
      <c r="E36" s="131"/>
      <c r="F36" s="132">
        <f>D36*200%</f>
        <v>26120</v>
      </c>
      <c r="G36" s="133">
        <f>C36*B36*12</f>
        <v>470160</v>
      </c>
    </row>
    <row r="37" spans="1:7" ht="15.75" x14ac:dyDescent="0.25">
      <c r="A37" s="141" t="s">
        <v>312</v>
      </c>
      <c r="B37" s="142">
        <f>SUM(B32:B36)</f>
        <v>5</v>
      </c>
      <c r="C37" s="143">
        <f>SUM(C32:C36)</f>
        <v>213693</v>
      </c>
      <c r="D37" s="143">
        <f>SUM(D32:D36)</f>
        <v>67130</v>
      </c>
      <c r="E37" s="143"/>
      <c r="F37" s="144">
        <f>SUM(F32:F36)</f>
        <v>146563</v>
      </c>
      <c r="G37" s="143">
        <f>SUM(G32:G36)</f>
        <v>2564316</v>
      </c>
    </row>
    <row r="38" spans="1:7" ht="15.75" x14ac:dyDescent="0.25">
      <c r="A38" s="263" t="s">
        <v>313</v>
      </c>
      <c r="B38" s="264"/>
      <c r="C38" s="264"/>
      <c r="D38" s="264"/>
      <c r="E38" s="264"/>
      <c r="F38" s="264"/>
      <c r="G38" s="265"/>
    </row>
    <row r="39" spans="1:7" ht="15.75" x14ac:dyDescent="0.25">
      <c r="A39" s="145" t="s">
        <v>314</v>
      </c>
      <c r="B39" s="135">
        <v>1</v>
      </c>
      <c r="C39" s="136">
        <f>D39+E39+F39</f>
        <v>43744</v>
      </c>
      <c r="D39" s="136">
        <v>13670</v>
      </c>
      <c r="E39" s="131"/>
      <c r="F39" s="132">
        <f>D39*220%</f>
        <v>30074.000000000004</v>
      </c>
      <c r="G39" s="133">
        <f t="shared" si="1"/>
        <v>524928</v>
      </c>
    </row>
    <row r="40" spans="1:7" ht="15.75" x14ac:dyDescent="0.25">
      <c r="A40" s="145" t="s">
        <v>356</v>
      </c>
      <c r="B40" s="135">
        <v>1</v>
      </c>
      <c r="C40" s="136">
        <f>D40+E40+F40</f>
        <v>37874</v>
      </c>
      <c r="D40" s="136">
        <v>13060</v>
      </c>
      <c r="E40" s="131"/>
      <c r="F40" s="132">
        <f>D40*190%</f>
        <v>24814</v>
      </c>
      <c r="G40" s="133">
        <f>C40*B40*12</f>
        <v>454488</v>
      </c>
    </row>
    <row r="41" spans="1:7" ht="15.75" x14ac:dyDescent="0.25">
      <c r="A41" s="141" t="s">
        <v>312</v>
      </c>
      <c r="B41" s="142">
        <f>SUM(B39:B40)</f>
        <v>2</v>
      </c>
      <c r="C41" s="146">
        <f>SUM(C39:C40)</f>
        <v>81618</v>
      </c>
      <c r="D41" s="147">
        <f>SUM(D39:D40)</f>
        <v>26730</v>
      </c>
      <c r="E41" s="147">
        <f ca="1">SUM(E39:E45)</f>
        <v>0</v>
      </c>
      <c r="F41" s="148">
        <f>SUM(F39:F40)</f>
        <v>54888</v>
      </c>
      <c r="G41" s="143">
        <f>SUM(G39:G40)</f>
        <v>979416</v>
      </c>
    </row>
    <row r="42" spans="1:7" ht="15.75" x14ac:dyDescent="0.25">
      <c r="A42" s="263" t="s">
        <v>315</v>
      </c>
      <c r="B42" s="264"/>
      <c r="C42" s="264"/>
      <c r="D42" s="264"/>
      <c r="E42" s="264"/>
      <c r="F42" s="264"/>
      <c r="G42" s="265"/>
    </row>
    <row r="43" spans="1:7" ht="15.75" x14ac:dyDescent="0.25">
      <c r="A43" s="145" t="s">
        <v>316</v>
      </c>
      <c r="B43" s="135">
        <v>2</v>
      </c>
      <c r="C43" s="136">
        <f>D43+E43+F43</f>
        <v>29348</v>
      </c>
      <c r="D43" s="136">
        <v>12760</v>
      </c>
      <c r="E43" s="131"/>
      <c r="F43" s="132">
        <f>D43*130%</f>
        <v>16588</v>
      </c>
      <c r="G43" s="133">
        <f t="shared" si="1"/>
        <v>704352</v>
      </c>
    </row>
    <row r="44" spans="1:7" ht="15.75" x14ac:dyDescent="0.25">
      <c r="A44" s="145" t="s">
        <v>317</v>
      </c>
      <c r="B44" s="135">
        <v>7</v>
      </c>
      <c r="C44" s="136">
        <f>D44+E44+F44</f>
        <v>20232</v>
      </c>
      <c r="D44" s="136">
        <v>11240</v>
      </c>
      <c r="E44" s="131"/>
      <c r="F44" s="132">
        <f>D44*80%</f>
        <v>8992</v>
      </c>
      <c r="G44" s="133">
        <f t="shared" si="1"/>
        <v>1699488</v>
      </c>
    </row>
    <row r="45" spans="1:7" ht="15.75" x14ac:dyDescent="0.25">
      <c r="A45" s="145" t="s">
        <v>368</v>
      </c>
      <c r="B45" s="135">
        <v>3</v>
      </c>
      <c r="C45" s="136">
        <f>D45+E45+F45</f>
        <v>23713</v>
      </c>
      <c r="D45" s="136">
        <v>10310</v>
      </c>
      <c r="E45" s="131"/>
      <c r="F45" s="132">
        <f>D45*130%</f>
        <v>13403</v>
      </c>
      <c r="G45" s="133">
        <f>C45*B45*12</f>
        <v>853668</v>
      </c>
    </row>
    <row r="46" spans="1:7" ht="15.75" x14ac:dyDescent="0.25">
      <c r="A46" s="141" t="s">
        <v>312</v>
      </c>
      <c r="B46" s="142">
        <f>SUM(B43:B45)</f>
        <v>12</v>
      </c>
      <c r="C46" s="146">
        <f>SUM(C43:C45)</f>
        <v>73293</v>
      </c>
      <c r="D46" s="146">
        <f>SUM(D43:D45)</f>
        <v>34310</v>
      </c>
      <c r="E46" s="146">
        <f t="shared" ref="E46" si="5">SUM(E43:E44)</f>
        <v>0</v>
      </c>
      <c r="F46" s="149">
        <f>SUM(F43:F45)</f>
        <v>38983</v>
      </c>
      <c r="G46" s="143">
        <f>SUM(G43:G45)</f>
        <v>3257508</v>
      </c>
    </row>
    <row r="47" spans="1:7" ht="15.75" x14ac:dyDescent="0.25">
      <c r="A47" s="266" t="s">
        <v>318</v>
      </c>
      <c r="B47" s="267"/>
      <c r="C47" s="267"/>
      <c r="D47" s="267"/>
      <c r="E47" s="267"/>
      <c r="F47" s="267"/>
      <c r="G47" s="268"/>
    </row>
    <row r="48" spans="1:7" ht="47.25" x14ac:dyDescent="0.25">
      <c r="A48" s="145" t="s">
        <v>319</v>
      </c>
      <c r="B48" s="135">
        <v>2</v>
      </c>
      <c r="C48" s="136">
        <f t="shared" ref="C48:C54" si="6">D48+E48+F48</f>
        <v>32064</v>
      </c>
      <c r="D48" s="136">
        <v>13360</v>
      </c>
      <c r="E48" s="131"/>
      <c r="F48" s="132">
        <f>D48*140%</f>
        <v>18704</v>
      </c>
      <c r="G48" s="133">
        <f t="shared" si="1"/>
        <v>769536</v>
      </c>
    </row>
    <row r="49" spans="1:7" ht="15.75" x14ac:dyDescent="0.25">
      <c r="A49" s="145" t="s">
        <v>320</v>
      </c>
      <c r="B49" s="135">
        <v>3</v>
      </c>
      <c r="C49" s="136">
        <f t="shared" si="6"/>
        <v>32064</v>
      </c>
      <c r="D49" s="136">
        <v>13360</v>
      </c>
      <c r="E49" s="131"/>
      <c r="F49" s="132">
        <f>D49*140%</f>
        <v>18704</v>
      </c>
      <c r="G49" s="133">
        <f>C49*B49*12</f>
        <v>1154304</v>
      </c>
    </row>
    <row r="50" spans="1:7" ht="15.75" x14ac:dyDescent="0.25">
      <c r="A50" s="145" t="s">
        <v>321</v>
      </c>
      <c r="B50" s="135">
        <v>2</v>
      </c>
      <c r="C50" s="136">
        <f t="shared" si="6"/>
        <v>34188</v>
      </c>
      <c r="D50" s="136">
        <v>12210</v>
      </c>
      <c r="E50" s="131"/>
      <c r="F50" s="132">
        <f>D50*180%</f>
        <v>21978</v>
      </c>
      <c r="G50" s="133">
        <f t="shared" si="1"/>
        <v>820512</v>
      </c>
    </row>
    <row r="51" spans="1:7" ht="15.75" x14ac:dyDescent="0.25">
      <c r="A51" s="145" t="s">
        <v>322</v>
      </c>
      <c r="B51" s="135">
        <v>7</v>
      </c>
      <c r="C51" s="136">
        <f t="shared" si="6"/>
        <v>33956</v>
      </c>
      <c r="D51" s="136">
        <v>13060</v>
      </c>
      <c r="E51" s="131"/>
      <c r="F51" s="132">
        <f>D51*160%</f>
        <v>20896</v>
      </c>
      <c r="G51" s="133">
        <f>C51*B51*12</f>
        <v>2852304</v>
      </c>
    </row>
    <row r="52" spans="1:7" ht="31.5" x14ac:dyDescent="0.25">
      <c r="A52" s="138" t="s">
        <v>311</v>
      </c>
      <c r="B52" s="139">
        <v>1</v>
      </c>
      <c r="C52" s="130">
        <f t="shared" si="6"/>
        <v>33956</v>
      </c>
      <c r="D52" s="140">
        <v>13060</v>
      </c>
      <c r="E52" s="131"/>
      <c r="F52" s="132">
        <f>D52*160%</f>
        <v>20896</v>
      </c>
      <c r="G52" s="133">
        <f>C52*B52*12</f>
        <v>407472</v>
      </c>
    </row>
    <row r="53" spans="1:7" ht="15.75" x14ac:dyDescent="0.25">
      <c r="A53" s="162" t="s">
        <v>365</v>
      </c>
      <c r="B53" s="135">
        <v>1</v>
      </c>
      <c r="C53" s="136">
        <f t="shared" si="6"/>
        <v>26862</v>
      </c>
      <c r="D53" s="136">
        <v>12210</v>
      </c>
      <c r="E53" s="131"/>
      <c r="F53" s="132">
        <f>D53*120%</f>
        <v>14652</v>
      </c>
      <c r="G53" s="133">
        <f>C53*B53*12</f>
        <v>322344</v>
      </c>
    </row>
    <row r="54" spans="1:7" ht="15.75" x14ac:dyDescent="0.25">
      <c r="A54" s="162" t="s">
        <v>334</v>
      </c>
      <c r="B54" s="135">
        <v>1</v>
      </c>
      <c r="C54" s="136">
        <f t="shared" si="6"/>
        <v>32967</v>
      </c>
      <c r="D54" s="136">
        <v>12210</v>
      </c>
      <c r="E54" s="131"/>
      <c r="F54" s="132">
        <f>D54*170%</f>
        <v>20757</v>
      </c>
      <c r="G54" s="133">
        <f>C54*B54*12</f>
        <v>395604</v>
      </c>
    </row>
    <row r="55" spans="1:7" ht="15.75" x14ac:dyDescent="0.25">
      <c r="A55" s="141" t="s">
        <v>312</v>
      </c>
      <c r="B55" s="142">
        <f>SUM(B48:B54)</f>
        <v>17</v>
      </c>
      <c r="C55" s="146">
        <f>SUM(C48:C54)</f>
        <v>226057</v>
      </c>
      <c r="D55" s="146">
        <f>SUM(D48:D54)</f>
        <v>89470</v>
      </c>
      <c r="E55" s="146">
        <f>SUM(E48:E54)</f>
        <v>0</v>
      </c>
      <c r="F55" s="146">
        <f t="shared" ref="F55:G55" si="7">SUM(F48:F54)</f>
        <v>136587</v>
      </c>
      <c r="G55" s="146">
        <f t="shared" si="7"/>
        <v>6722076</v>
      </c>
    </row>
    <row r="56" spans="1:7" ht="15.75" x14ac:dyDescent="0.25">
      <c r="A56" s="263" t="s">
        <v>323</v>
      </c>
      <c r="B56" s="264"/>
      <c r="C56" s="264"/>
      <c r="D56" s="264"/>
      <c r="E56" s="264"/>
      <c r="F56" s="264"/>
      <c r="G56" s="265"/>
    </row>
    <row r="57" spans="1:7" ht="15.75" x14ac:dyDescent="0.25">
      <c r="A57" s="145" t="s">
        <v>324</v>
      </c>
      <c r="B57" s="135">
        <v>2</v>
      </c>
      <c r="C57" s="136">
        <f>D57+E57+F57</f>
        <v>28083</v>
      </c>
      <c r="D57" s="136">
        <v>12210</v>
      </c>
      <c r="E57" s="131"/>
      <c r="F57" s="132">
        <f>D57*130%</f>
        <v>15873</v>
      </c>
      <c r="G57" s="133">
        <f t="shared" si="1"/>
        <v>673992</v>
      </c>
    </row>
    <row r="58" spans="1:7" ht="15.75" x14ac:dyDescent="0.25">
      <c r="A58" s="145" t="s">
        <v>325</v>
      </c>
      <c r="B58" s="135">
        <v>4</v>
      </c>
      <c r="C58" s="136">
        <f>D58+E58+F58</f>
        <v>28083</v>
      </c>
      <c r="D58" s="136">
        <v>12210</v>
      </c>
      <c r="E58" s="131"/>
      <c r="F58" s="132">
        <f>D58*130%</f>
        <v>15873</v>
      </c>
      <c r="G58" s="133">
        <f t="shared" si="1"/>
        <v>1347984</v>
      </c>
    </row>
    <row r="59" spans="1:7" ht="15.75" x14ac:dyDescent="0.25">
      <c r="A59" s="141" t="s">
        <v>312</v>
      </c>
      <c r="B59" s="142">
        <f t="shared" ref="B59:G59" si="8">SUM(B57:B58)</f>
        <v>6</v>
      </c>
      <c r="C59" s="146">
        <f t="shared" si="8"/>
        <v>56166</v>
      </c>
      <c r="D59" s="147">
        <f t="shared" si="8"/>
        <v>24420</v>
      </c>
      <c r="E59" s="147">
        <f t="shared" si="8"/>
        <v>0</v>
      </c>
      <c r="F59" s="148">
        <f t="shared" si="8"/>
        <v>31746</v>
      </c>
      <c r="G59" s="143">
        <f t="shared" si="8"/>
        <v>2021976</v>
      </c>
    </row>
    <row r="60" spans="1:7" ht="15.75" x14ac:dyDescent="0.25">
      <c r="A60" s="285" t="s">
        <v>326</v>
      </c>
      <c r="B60" s="286"/>
      <c r="C60" s="286"/>
      <c r="D60" s="286"/>
      <c r="E60" s="286"/>
      <c r="F60" s="286"/>
      <c r="G60" s="287"/>
    </row>
    <row r="61" spans="1:7" ht="31.5" x14ac:dyDescent="0.25">
      <c r="A61" s="145" t="s">
        <v>337</v>
      </c>
      <c r="B61" s="135">
        <v>1</v>
      </c>
      <c r="C61" s="136">
        <f t="shared" ref="C61:C67" si="9">D61+E61+F61</f>
        <v>36322</v>
      </c>
      <c r="D61" s="136">
        <v>13970</v>
      </c>
      <c r="E61" s="131"/>
      <c r="F61" s="132">
        <f>D61*160%</f>
        <v>22352</v>
      </c>
      <c r="G61" s="133">
        <f t="shared" ref="G61" si="10">C61*B61*12</f>
        <v>435864</v>
      </c>
    </row>
    <row r="62" spans="1:7" ht="15.75" x14ac:dyDescent="0.25">
      <c r="A62" s="145" t="s">
        <v>335</v>
      </c>
      <c r="B62" s="135">
        <v>1</v>
      </c>
      <c r="C62" s="136">
        <f t="shared" si="9"/>
        <v>25641</v>
      </c>
      <c r="D62" s="136">
        <v>12210</v>
      </c>
      <c r="E62" s="131"/>
      <c r="F62" s="132">
        <f t="shared" ref="F62" si="11">D62*110%</f>
        <v>13431.000000000002</v>
      </c>
      <c r="G62" s="133">
        <f t="shared" si="1"/>
        <v>307692</v>
      </c>
    </row>
    <row r="63" spans="1:7" ht="31.5" x14ac:dyDescent="0.25">
      <c r="A63" s="145" t="s">
        <v>336</v>
      </c>
      <c r="B63" s="135">
        <v>2</v>
      </c>
      <c r="C63" s="136">
        <f>D63+E63+F63</f>
        <v>21540</v>
      </c>
      <c r="D63" s="136">
        <v>10770</v>
      </c>
      <c r="E63" s="131"/>
      <c r="F63" s="132">
        <f>D63*100%</f>
        <v>10770</v>
      </c>
      <c r="G63" s="133">
        <f>C63*B63*12</f>
        <v>516960</v>
      </c>
    </row>
    <row r="64" spans="1:7" ht="15.75" x14ac:dyDescent="0.25">
      <c r="A64" s="145" t="s">
        <v>327</v>
      </c>
      <c r="B64" s="135">
        <v>2</v>
      </c>
      <c r="C64" s="136">
        <f t="shared" si="9"/>
        <v>21540</v>
      </c>
      <c r="D64" s="136">
        <v>10770</v>
      </c>
      <c r="E64" s="131"/>
      <c r="F64" s="132">
        <f>D64*100%</f>
        <v>10770</v>
      </c>
      <c r="G64" s="133">
        <f t="shared" si="1"/>
        <v>516960</v>
      </c>
    </row>
    <row r="65" spans="1:7" ht="15.75" x14ac:dyDescent="0.25">
      <c r="A65" s="145" t="s">
        <v>328</v>
      </c>
      <c r="B65" s="135">
        <v>8</v>
      </c>
      <c r="C65" s="136">
        <f t="shared" si="9"/>
        <v>18500</v>
      </c>
      <c r="D65" s="136">
        <v>9250</v>
      </c>
      <c r="E65" s="131"/>
      <c r="F65" s="132">
        <f>D65*100%</f>
        <v>9250</v>
      </c>
      <c r="G65" s="133">
        <f t="shared" si="1"/>
        <v>1776000</v>
      </c>
    </row>
    <row r="66" spans="1:7" ht="31.5" x14ac:dyDescent="0.25">
      <c r="A66" s="145" t="s">
        <v>329</v>
      </c>
      <c r="B66" s="135">
        <v>3</v>
      </c>
      <c r="C66" s="136">
        <f t="shared" si="9"/>
        <v>18500</v>
      </c>
      <c r="D66" s="136">
        <v>9250</v>
      </c>
      <c r="E66" s="131"/>
      <c r="F66" s="132">
        <f>D66*100%</f>
        <v>9250</v>
      </c>
      <c r="G66" s="133">
        <f>C66*B66*12</f>
        <v>666000</v>
      </c>
    </row>
    <row r="67" spans="1:7" ht="15.75" x14ac:dyDescent="0.25">
      <c r="A67" s="150" t="s">
        <v>330</v>
      </c>
      <c r="B67" s="151">
        <v>1</v>
      </c>
      <c r="C67" s="136">
        <f t="shared" si="9"/>
        <v>28988.5</v>
      </c>
      <c r="D67" s="152">
        <v>11240</v>
      </c>
      <c r="E67" s="131"/>
      <c r="F67" s="132">
        <f>D67*150%+888.5</f>
        <v>17748.5</v>
      </c>
      <c r="G67" s="133">
        <f>C67*B67*12</f>
        <v>347862</v>
      </c>
    </row>
    <row r="68" spans="1:7" ht="16.5" thickBot="1" x14ac:dyDescent="0.3">
      <c r="A68" s="153" t="s">
        <v>312</v>
      </c>
      <c r="B68" s="154">
        <f t="shared" ref="B68" si="12">SUM(B61:B67)</f>
        <v>18</v>
      </c>
      <c r="C68" s="155">
        <f>SUM(C61:C67)</f>
        <v>171031.5</v>
      </c>
      <c r="D68" s="155">
        <f>SUM(D61:D67)</f>
        <v>77460</v>
      </c>
      <c r="E68" s="155"/>
      <c r="F68" s="156">
        <f>SUM(F61:F67)</f>
        <v>93571.5</v>
      </c>
      <c r="G68" s="157">
        <f>SUM(G61:G67)</f>
        <v>4567338</v>
      </c>
    </row>
    <row r="69" spans="1:7" ht="16.5" thickBot="1" x14ac:dyDescent="0.3">
      <c r="A69" s="158" t="s">
        <v>331</v>
      </c>
      <c r="B69" s="159">
        <f>B30+B37+B41+B46+B55+B59+B68</f>
        <v>67</v>
      </c>
      <c r="C69" s="160">
        <f>C30+C37+C41+C46+C55+C59+C68</f>
        <v>1147124.3999999999</v>
      </c>
      <c r="D69" s="160">
        <f>D30+D37+D41+D46+D55+D59+D68</f>
        <v>424414</v>
      </c>
      <c r="E69" s="160"/>
      <c r="F69" s="160">
        <f>F30+F37+F41+F46+F55+F59+F68</f>
        <v>722710.4</v>
      </c>
      <c r="G69" s="160">
        <f>G30+G37+G41+G46+G55+G59+G68</f>
        <v>24015820.800000001</v>
      </c>
    </row>
    <row r="70" spans="1:7" ht="15.75" x14ac:dyDescent="0.25">
      <c r="A70" s="291" t="s">
        <v>357</v>
      </c>
      <c r="B70" s="292"/>
      <c r="C70" s="292"/>
      <c r="D70" s="292"/>
      <c r="E70" s="292"/>
      <c r="F70" s="292"/>
      <c r="G70" s="293"/>
    </row>
    <row r="71" spans="1:7" ht="15" customHeight="1" x14ac:dyDescent="0.25">
      <c r="A71" s="128" t="s">
        <v>358</v>
      </c>
      <c r="B71" s="129">
        <v>1</v>
      </c>
      <c r="C71" s="130">
        <f t="shared" ref="C71:C72" si="13">D71+E71+F71</f>
        <v>49402</v>
      </c>
      <c r="D71" s="130">
        <v>14530</v>
      </c>
      <c r="E71" s="131"/>
      <c r="F71" s="132">
        <f>D71*240%</f>
        <v>34872</v>
      </c>
      <c r="G71" s="133">
        <f>C71*B71*12</f>
        <v>592824</v>
      </c>
    </row>
    <row r="72" spans="1:7" ht="15.75" x14ac:dyDescent="0.25">
      <c r="A72" s="134" t="s">
        <v>338</v>
      </c>
      <c r="B72" s="135">
        <v>1</v>
      </c>
      <c r="C72" s="130">
        <f t="shared" si="13"/>
        <v>43744</v>
      </c>
      <c r="D72" s="136">
        <v>13670</v>
      </c>
      <c r="E72" s="131"/>
      <c r="F72" s="132">
        <f>D72*220%</f>
        <v>30074.000000000004</v>
      </c>
      <c r="G72" s="133">
        <f t="shared" ref="G72" si="14">C72*B72*12</f>
        <v>524928</v>
      </c>
    </row>
    <row r="73" spans="1:7" ht="15.75" x14ac:dyDescent="0.25">
      <c r="A73" s="134" t="s">
        <v>486</v>
      </c>
      <c r="B73" s="135">
        <v>1</v>
      </c>
      <c r="C73" s="130">
        <f t="shared" ref="C73" si="15">D73+E73+F73</f>
        <v>34188</v>
      </c>
      <c r="D73" s="136">
        <v>12210</v>
      </c>
      <c r="E73" s="131"/>
      <c r="F73" s="132">
        <f>D73*180%</f>
        <v>21978</v>
      </c>
      <c r="G73" s="133">
        <f t="shared" ref="G73" si="16">C73*B73*12</f>
        <v>410256</v>
      </c>
    </row>
    <row r="74" spans="1:7" ht="15.75" x14ac:dyDescent="0.25">
      <c r="A74" s="134" t="s">
        <v>360</v>
      </c>
      <c r="B74" s="135">
        <v>1</v>
      </c>
      <c r="C74" s="130">
        <f t="shared" ref="C74" si="17">D74+E74+F74</f>
        <v>35262</v>
      </c>
      <c r="D74" s="136">
        <v>13060</v>
      </c>
      <c r="E74" s="131"/>
      <c r="F74" s="132">
        <f>D74*170%</f>
        <v>22202</v>
      </c>
      <c r="G74" s="133">
        <f t="shared" ref="G74" si="18">C74*B74*12</f>
        <v>423144</v>
      </c>
    </row>
    <row r="75" spans="1:7" ht="15.75" x14ac:dyDescent="0.25">
      <c r="A75" s="128" t="s">
        <v>487</v>
      </c>
      <c r="B75" s="129">
        <v>1</v>
      </c>
      <c r="C75" s="130">
        <f t="shared" ref="C75" si="19">D75+E75+F75</f>
        <v>28868</v>
      </c>
      <c r="D75" s="130">
        <v>10310</v>
      </c>
      <c r="E75" s="131"/>
      <c r="F75" s="132">
        <f>D75*180%</f>
        <v>18558</v>
      </c>
      <c r="G75" s="133">
        <f>C75*B75*12</f>
        <v>346416</v>
      </c>
    </row>
    <row r="76" spans="1:7" ht="15.75" x14ac:dyDescent="0.25">
      <c r="A76" s="128" t="s">
        <v>355</v>
      </c>
      <c r="B76" s="129">
        <v>1</v>
      </c>
      <c r="C76" s="130">
        <f t="shared" ref="C76" si="20">D76+E76+F76</f>
        <v>30038</v>
      </c>
      <c r="D76" s="130">
        <v>13060</v>
      </c>
      <c r="E76" s="131"/>
      <c r="F76" s="132">
        <f>D76*130%</f>
        <v>16978</v>
      </c>
      <c r="G76" s="133">
        <f>C76*B76*12</f>
        <v>360456</v>
      </c>
    </row>
    <row r="77" spans="1:7" ht="18.75" customHeight="1" x14ac:dyDescent="0.25">
      <c r="A77" s="141" t="s">
        <v>312</v>
      </c>
      <c r="B77" s="142">
        <f>SUM(B71:B76)</f>
        <v>6</v>
      </c>
      <c r="C77" s="143">
        <f>SUM(C71:C76)</f>
        <v>221502</v>
      </c>
      <c r="D77" s="143">
        <f>SUM(D71:D76)</f>
        <v>76840</v>
      </c>
      <c r="E77" s="143">
        <f>SUM(E75:E75)</f>
        <v>0</v>
      </c>
      <c r="F77" s="144">
        <f>SUM(F71:F76)</f>
        <v>144662</v>
      </c>
      <c r="G77" s="143">
        <f>SUM(G71:G76)</f>
        <v>2658024</v>
      </c>
    </row>
    <row r="78" spans="1:7" ht="15.75" x14ac:dyDescent="0.25">
      <c r="A78" s="263" t="s">
        <v>315</v>
      </c>
      <c r="B78" s="264"/>
      <c r="C78" s="264"/>
      <c r="D78" s="264"/>
      <c r="E78" s="264"/>
      <c r="F78" s="264"/>
      <c r="G78" s="265"/>
    </row>
    <row r="79" spans="1:7" ht="15.75" x14ac:dyDescent="0.25">
      <c r="A79" s="128" t="s">
        <v>359</v>
      </c>
      <c r="B79" s="129">
        <v>1</v>
      </c>
      <c r="C79" s="130">
        <f t="shared" ref="C79" si="21">D79+E79+F79</f>
        <v>42377</v>
      </c>
      <c r="D79" s="130">
        <v>13670</v>
      </c>
      <c r="E79" s="131"/>
      <c r="F79" s="132">
        <f>D79*210%</f>
        <v>28707</v>
      </c>
      <c r="G79" s="133">
        <f>C79*B79*12</f>
        <v>508524</v>
      </c>
    </row>
    <row r="80" spans="1:7" ht="15.75" x14ac:dyDescent="0.25">
      <c r="A80" s="145" t="s">
        <v>316</v>
      </c>
      <c r="B80" s="135">
        <v>2</v>
      </c>
      <c r="C80" s="136">
        <f>D80+E80+F80</f>
        <v>33176</v>
      </c>
      <c r="D80" s="136">
        <v>12760</v>
      </c>
      <c r="E80" s="131"/>
      <c r="F80" s="132">
        <f>D80*160%</f>
        <v>20416</v>
      </c>
      <c r="G80" s="133">
        <f t="shared" ref="G80:G81" si="22">C80*B80*12</f>
        <v>796224</v>
      </c>
    </row>
    <row r="81" spans="1:7" ht="15.75" x14ac:dyDescent="0.25">
      <c r="A81" s="145" t="s">
        <v>317</v>
      </c>
      <c r="B81" s="135">
        <v>9</v>
      </c>
      <c r="C81" s="136">
        <f>D81+E81+F81</f>
        <v>21356</v>
      </c>
      <c r="D81" s="136">
        <v>11240</v>
      </c>
      <c r="E81" s="131"/>
      <c r="F81" s="132">
        <f>D81*90%</f>
        <v>10116</v>
      </c>
      <c r="G81" s="133">
        <f t="shared" si="22"/>
        <v>2306448</v>
      </c>
    </row>
    <row r="82" spans="1:7" ht="15.75" x14ac:dyDescent="0.25">
      <c r="A82" s="145" t="s">
        <v>368</v>
      </c>
      <c r="B82" s="135">
        <v>4</v>
      </c>
      <c r="C82" s="136">
        <f>D82+E82+F82</f>
        <v>22682</v>
      </c>
      <c r="D82" s="136">
        <v>10310</v>
      </c>
      <c r="E82" s="131"/>
      <c r="F82" s="132">
        <f>D82*120%</f>
        <v>12372</v>
      </c>
      <c r="G82" s="133">
        <f>C82*B82*12</f>
        <v>1088736</v>
      </c>
    </row>
    <row r="83" spans="1:7" ht="15.75" x14ac:dyDescent="0.25">
      <c r="A83" s="145" t="s">
        <v>332</v>
      </c>
      <c r="B83" s="135">
        <v>1</v>
      </c>
      <c r="C83" s="136">
        <f>D83+E83+F83</f>
        <v>22682</v>
      </c>
      <c r="D83" s="136">
        <v>10310</v>
      </c>
      <c r="E83" s="131"/>
      <c r="F83" s="132">
        <f>D83*120%</f>
        <v>12372</v>
      </c>
      <c r="G83" s="133">
        <f>C83*B83*12</f>
        <v>272184</v>
      </c>
    </row>
    <row r="84" spans="1:7" ht="15.75" x14ac:dyDescent="0.25">
      <c r="A84" s="141" t="s">
        <v>312</v>
      </c>
      <c r="B84" s="142">
        <f t="shared" ref="B84:G84" si="23">SUM(B79:B83)</f>
        <v>17</v>
      </c>
      <c r="C84" s="146">
        <f>SUM(C79:C83)</f>
        <v>142273</v>
      </c>
      <c r="D84" s="146">
        <f t="shared" si="23"/>
        <v>58290</v>
      </c>
      <c r="E84" s="146">
        <f t="shared" si="23"/>
        <v>0</v>
      </c>
      <c r="F84" s="149">
        <f t="shared" si="23"/>
        <v>83983</v>
      </c>
      <c r="G84" s="143">
        <f t="shared" si="23"/>
        <v>4972116</v>
      </c>
    </row>
    <row r="85" spans="1:7" ht="15.75" x14ac:dyDescent="0.25">
      <c r="A85" s="266" t="s">
        <v>318</v>
      </c>
      <c r="B85" s="267"/>
      <c r="C85" s="267"/>
      <c r="D85" s="267"/>
      <c r="E85" s="267"/>
      <c r="F85" s="267"/>
      <c r="G85" s="268"/>
    </row>
    <row r="86" spans="1:7" ht="15.75" x14ac:dyDescent="0.25">
      <c r="A86" s="128" t="s">
        <v>359</v>
      </c>
      <c r="B86" s="129">
        <v>1</v>
      </c>
      <c r="C86" s="130">
        <f t="shared" ref="C86:C93" si="24">D86+E86+F86</f>
        <v>42377</v>
      </c>
      <c r="D86" s="130">
        <v>13670</v>
      </c>
      <c r="E86" s="131"/>
      <c r="F86" s="132">
        <f>D86*210%</f>
        <v>28707</v>
      </c>
      <c r="G86" s="133">
        <f>C86*B86*12</f>
        <v>508524</v>
      </c>
    </row>
    <row r="87" spans="1:7" ht="31.5" x14ac:dyDescent="0.25">
      <c r="A87" s="145" t="s">
        <v>333</v>
      </c>
      <c r="B87" s="135">
        <v>1</v>
      </c>
      <c r="C87" s="136">
        <f t="shared" si="24"/>
        <v>37408</v>
      </c>
      <c r="D87" s="136">
        <v>13360</v>
      </c>
      <c r="E87" s="131"/>
      <c r="F87" s="132">
        <f>D87*180%</f>
        <v>24048</v>
      </c>
      <c r="G87" s="133">
        <f t="shared" ref="G87:G90" si="25">C87*B87*12</f>
        <v>448896</v>
      </c>
    </row>
    <row r="88" spans="1:7" ht="31.5" x14ac:dyDescent="0.25">
      <c r="A88" s="145" t="s">
        <v>363</v>
      </c>
      <c r="B88" s="135">
        <v>1</v>
      </c>
      <c r="C88" s="136">
        <f t="shared" si="24"/>
        <v>37408</v>
      </c>
      <c r="D88" s="136">
        <v>13360</v>
      </c>
      <c r="E88" s="131"/>
      <c r="F88" s="132">
        <f>D88*180%</f>
        <v>24048</v>
      </c>
      <c r="G88" s="133">
        <f t="shared" si="25"/>
        <v>448896</v>
      </c>
    </row>
    <row r="89" spans="1:7" ht="15.75" x14ac:dyDescent="0.25">
      <c r="A89" s="145" t="s">
        <v>320</v>
      </c>
      <c r="B89" s="135">
        <v>3</v>
      </c>
      <c r="C89" s="136">
        <f t="shared" si="24"/>
        <v>37408</v>
      </c>
      <c r="D89" s="136">
        <v>13360</v>
      </c>
      <c r="E89" s="131"/>
      <c r="F89" s="132">
        <f>D89*180%</f>
        <v>24048</v>
      </c>
      <c r="G89" s="133">
        <f t="shared" si="25"/>
        <v>1346688</v>
      </c>
    </row>
    <row r="90" spans="1:7" ht="15.75" x14ac:dyDescent="0.25">
      <c r="A90" s="145" t="s">
        <v>321</v>
      </c>
      <c r="B90" s="135">
        <v>2</v>
      </c>
      <c r="C90" s="136">
        <f t="shared" si="24"/>
        <v>32967</v>
      </c>
      <c r="D90" s="136">
        <v>12210</v>
      </c>
      <c r="E90" s="131"/>
      <c r="F90" s="132">
        <f>D90*170%</f>
        <v>20757</v>
      </c>
      <c r="G90" s="133">
        <f t="shared" si="25"/>
        <v>791208</v>
      </c>
    </row>
    <row r="91" spans="1:7" ht="15.75" x14ac:dyDescent="0.25">
      <c r="A91" s="145" t="s">
        <v>322</v>
      </c>
      <c r="B91" s="135">
        <v>6</v>
      </c>
      <c r="C91" s="136">
        <f t="shared" si="24"/>
        <v>35262</v>
      </c>
      <c r="D91" s="136">
        <v>13060</v>
      </c>
      <c r="E91" s="131"/>
      <c r="F91" s="132">
        <f>D91*170%</f>
        <v>22202</v>
      </c>
      <c r="G91" s="133">
        <f>C91*B91*12</f>
        <v>2538864</v>
      </c>
    </row>
    <row r="92" spans="1:7" ht="31.5" x14ac:dyDescent="0.25">
      <c r="A92" s="145" t="s">
        <v>364</v>
      </c>
      <c r="B92" s="135">
        <v>1</v>
      </c>
      <c r="C92" s="136">
        <f t="shared" si="24"/>
        <v>33669</v>
      </c>
      <c r="D92" s="136">
        <v>12470</v>
      </c>
      <c r="E92" s="131"/>
      <c r="F92" s="132">
        <f>D92*170%</f>
        <v>21199</v>
      </c>
      <c r="G92" s="133">
        <f>C92*B92*12</f>
        <v>404028</v>
      </c>
    </row>
    <row r="93" spans="1:7" ht="15" customHeight="1" x14ac:dyDescent="0.25">
      <c r="A93" s="145" t="s">
        <v>365</v>
      </c>
      <c r="B93" s="135">
        <v>1</v>
      </c>
      <c r="C93" s="136">
        <f t="shared" si="24"/>
        <v>30525</v>
      </c>
      <c r="D93" s="136">
        <v>12210</v>
      </c>
      <c r="E93" s="131"/>
      <c r="F93" s="132">
        <f>D93*150%</f>
        <v>18315</v>
      </c>
      <c r="G93" s="133">
        <f>C93*B93*12</f>
        <v>366300</v>
      </c>
    </row>
    <row r="94" spans="1:7" ht="18" customHeight="1" x14ac:dyDescent="0.25">
      <c r="A94" s="162" t="s">
        <v>334</v>
      </c>
      <c r="B94" s="135">
        <v>1</v>
      </c>
      <c r="C94" s="136">
        <f>D94+E94+F94</f>
        <v>31746</v>
      </c>
      <c r="D94" s="136">
        <v>12210</v>
      </c>
      <c r="E94" s="131"/>
      <c r="F94" s="132">
        <f>D94*160%</f>
        <v>19536</v>
      </c>
      <c r="G94" s="133">
        <f>C94*B94*12</f>
        <v>380952</v>
      </c>
    </row>
    <row r="95" spans="1:7" ht="31.5" x14ac:dyDescent="0.25">
      <c r="A95" s="138" t="s">
        <v>311</v>
      </c>
      <c r="B95" s="139">
        <v>1</v>
      </c>
      <c r="C95" s="130">
        <f>D95+E95+F95</f>
        <v>35262</v>
      </c>
      <c r="D95" s="140">
        <v>13060</v>
      </c>
      <c r="E95" s="131"/>
      <c r="F95" s="132">
        <f>D95*170%</f>
        <v>22202</v>
      </c>
      <c r="G95" s="133">
        <f>C95*B95*12</f>
        <v>423144</v>
      </c>
    </row>
    <row r="96" spans="1:7" ht="15.75" x14ac:dyDescent="0.25">
      <c r="A96" s="141" t="s">
        <v>312</v>
      </c>
      <c r="B96" s="142">
        <f>SUM(B86:B95)</f>
        <v>18</v>
      </c>
      <c r="C96" s="146">
        <f>SUM(C86:C95)</f>
        <v>354032</v>
      </c>
      <c r="D96" s="146">
        <f>SUM(D86:D95)</f>
        <v>128970</v>
      </c>
      <c r="E96" s="146">
        <f t="shared" ref="E96" si="26">SUM(E86:E93)</f>
        <v>0</v>
      </c>
      <c r="F96" s="149">
        <f>SUM(F86:F95)</f>
        <v>225062</v>
      </c>
      <c r="G96" s="143">
        <f>SUM(G86:G95)</f>
        <v>7657500</v>
      </c>
    </row>
    <row r="97" spans="1:9" ht="15.75" x14ac:dyDescent="0.25">
      <c r="A97" s="263" t="s">
        <v>323</v>
      </c>
      <c r="B97" s="264"/>
      <c r="C97" s="264"/>
      <c r="D97" s="264"/>
      <c r="E97" s="264"/>
      <c r="F97" s="264"/>
      <c r="G97" s="265"/>
    </row>
    <row r="98" spans="1:9" ht="15.75" x14ac:dyDescent="0.25">
      <c r="A98" s="128" t="s">
        <v>359</v>
      </c>
      <c r="B98" s="129">
        <v>1</v>
      </c>
      <c r="C98" s="130">
        <f t="shared" ref="C98" si="27">D98+E98+F98</f>
        <v>41010</v>
      </c>
      <c r="D98" s="130">
        <v>13670</v>
      </c>
      <c r="E98" s="131"/>
      <c r="F98" s="132">
        <f>D98*200%</f>
        <v>27340</v>
      </c>
      <c r="G98" s="133">
        <f>C98*B98*12</f>
        <v>492120</v>
      </c>
    </row>
    <row r="99" spans="1:9" ht="15.75" x14ac:dyDescent="0.25">
      <c r="A99" s="145" t="s">
        <v>324</v>
      </c>
      <c r="B99" s="135">
        <v>3</v>
      </c>
      <c r="C99" s="136">
        <f>D99+E99+F99</f>
        <v>27472.5</v>
      </c>
      <c r="D99" s="136">
        <v>12210</v>
      </c>
      <c r="E99" s="131"/>
      <c r="F99" s="132">
        <f>D99*125%</f>
        <v>15262.5</v>
      </c>
      <c r="G99" s="133">
        <f>C99*B99*12</f>
        <v>989010</v>
      </c>
    </row>
    <row r="100" spans="1:9" ht="15.75" x14ac:dyDescent="0.25">
      <c r="A100" s="145" t="s">
        <v>325</v>
      </c>
      <c r="B100" s="135">
        <v>2</v>
      </c>
      <c r="C100" s="136">
        <f>D100+E100+F100</f>
        <v>28083</v>
      </c>
      <c r="D100" s="136">
        <v>12210</v>
      </c>
      <c r="E100" s="131"/>
      <c r="F100" s="132">
        <f>D100*130%</f>
        <v>15873</v>
      </c>
      <c r="G100" s="133">
        <f t="shared" ref="G100" si="28">C100*B100*12</f>
        <v>673992</v>
      </c>
    </row>
    <row r="101" spans="1:9" ht="18" customHeight="1" x14ac:dyDescent="0.25">
      <c r="A101" s="141" t="s">
        <v>312</v>
      </c>
      <c r="B101" s="142">
        <f t="shared" ref="B101:G101" si="29">SUM(B98:B100)</f>
        <v>6</v>
      </c>
      <c r="C101" s="146">
        <f t="shared" si="29"/>
        <v>96565.5</v>
      </c>
      <c r="D101" s="147">
        <f t="shared" si="29"/>
        <v>38090</v>
      </c>
      <c r="E101" s="147">
        <f t="shared" si="29"/>
        <v>0</v>
      </c>
      <c r="F101" s="148">
        <f t="shared" si="29"/>
        <v>58475.5</v>
      </c>
      <c r="G101" s="143">
        <f t="shared" si="29"/>
        <v>2155122</v>
      </c>
    </row>
    <row r="102" spans="1:9" ht="15.75" x14ac:dyDescent="0.25">
      <c r="A102" s="285" t="s">
        <v>326</v>
      </c>
      <c r="B102" s="286"/>
      <c r="C102" s="286"/>
      <c r="D102" s="286"/>
      <c r="E102" s="286"/>
      <c r="F102" s="286"/>
      <c r="G102" s="287"/>
    </row>
    <row r="103" spans="1:9" ht="31.5" x14ac:dyDescent="0.25">
      <c r="A103" s="134" t="s">
        <v>337</v>
      </c>
      <c r="B103" s="135">
        <v>1</v>
      </c>
      <c r="C103" s="136">
        <f t="shared" ref="C103:C107" si="30">D103+E103+F103</f>
        <v>41910</v>
      </c>
      <c r="D103" s="136">
        <v>13970</v>
      </c>
      <c r="E103" s="131"/>
      <c r="F103" s="132">
        <f>D103*200%</f>
        <v>27940</v>
      </c>
      <c r="G103" s="133">
        <f t="shared" ref="G103:G104" si="31">C103*B103*12</f>
        <v>502920</v>
      </c>
    </row>
    <row r="104" spans="1:9" ht="15.75" x14ac:dyDescent="0.25">
      <c r="A104" s="145" t="s">
        <v>335</v>
      </c>
      <c r="B104" s="135">
        <v>1</v>
      </c>
      <c r="C104" s="136">
        <f t="shared" si="30"/>
        <v>26862</v>
      </c>
      <c r="D104" s="136">
        <v>12210</v>
      </c>
      <c r="E104" s="131"/>
      <c r="F104" s="132">
        <f>D104*120%</f>
        <v>14652</v>
      </c>
      <c r="G104" s="133">
        <f t="shared" si="31"/>
        <v>322344</v>
      </c>
      <c r="H104" s="50"/>
    </row>
    <row r="105" spans="1:9" ht="31.5" x14ac:dyDescent="0.25">
      <c r="A105" s="145" t="s">
        <v>336</v>
      </c>
      <c r="B105" s="135">
        <v>2</v>
      </c>
      <c r="C105" s="136">
        <f t="shared" si="30"/>
        <v>23694</v>
      </c>
      <c r="D105" s="136">
        <v>10770</v>
      </c>
      <c r="E105" s="131"/>
      <c r="F105" s="132">
        <f>D105*120%</f>
        <v>12924</v>
      </c>
      <c r="G105" s="133">
        <f>C105*B105*12</f>
        <v>568656</v>
      </c>
      <c r="H105" s="50"/>
    </row>
    <row r="106" spans="1:9" ht="18" customHeight="1" x14ac:dyDescent="0.25">
      <c r="A106" s="145" t="s">
        <v>327</v>
      </c>
      <c r="B106" s="135">
        <v>2</v>
      </c>
      <c r="C106" s="136">
        <f t="shared" si="30"/>
        <v>23694</v>
      </c>
      <c r="D106" s="136">
        <v>10770</v>
      </c>
      <c r="E106" s="131"/>
      <c r="F106" s="132">
        <f>D106*120%</f>
        <v>12924</v>
      </c>
      <c r="G106" s="133">
        <f t="shared" ref="G106:G107" si="32">C106*B106*12</f>
        <v>568656</v>
      </c>
    </row>
    <row r="107" spans="1:9" ht="15.75" x14ac:dyDescent="0.25">
      <c r="A107" s="145" t="s">
        <v>328</v>
      </c>
      <c r="B107" s="135">
        <v>8</v>
      </c>
      <c r="C107" s="136">
        <f t="shared" si="30"/>
        <v>21275</v>
      </c>
      <c r="D107" s="136">
        <v>9250</v>
      </c>
      <c r="E107" s="131"/>
      <c r="F107" s="132">
        <f>D107*130%</f>
        <v>12025</v>
      </c>
      <c r="G107" s="133">
        <f t="shared" si="32"/>
        <v>2042400</v>
      </c>
    </row>
    <row r="108" spans="1:9" ht="31.5" x14ac:dyDescent="0.25">
      <c r="A108" s="134" t="s">
        <v>329</v>
      </c>
      <c r="B108" s="135">
        <v>2</v>
      </c>
      <c r="C108" s="136">
        <f>D108+E108+F108</f>
        <v>21275</v>
      </c>
      <c r="D108" s="136">
        <v>9250</v>
      </c>
      <c r="E108" s="131"/>
      <c r="F108" s="132">
        <f>D108*130%</f>
        <v>12025</v>
      </c>
      <c r="G108" s="133">
        <f>C108*B108*12</f>
        <v>510600</v>
      </c>
    </row>
    <row r="109" spans="1:9" ht="18" customHeight="1" x14ac:dyDescent="0.25">
      <c r="A109" s="150" t="s">
        <v>330</v>
      </c>
      <c r="B109" s="151">
        <v>1</v>
      </c>
      <c r="C109" s="136">
        <f>D109+E109+F109</f>
        <v>28749.142500000002</v>
      </c>
      <c r="D109" s="152">
        <v>11240</v>
      </c>
      <c r="E109" s="131"/>
      <c r="F109" s="132">
        <f>D109*150%+649.1425</f>
        <v>17509.142500000002</v>
      </c>
      <c r="G109" s="133">
        <f>C109*B109*12</f>
        <v>344989.71</v>
      </c>
    </row>
    <row r="110" spans="1:9" ht="18" customHeight="1" thickBot="1" x14ac:dyDescent="0.3">
      <c r="A110" s="153" t="s">
        <v>312</v>
      </c>
      <c r="B110" s="154">
        <f>SUM(B103:B109)</f>
        <v>17</v>
      </c>
      <c r="C110" s="155">
        <f>SUM(C103:C109)</f>
        <v>187459.14250000002</v>
      </c>
      <c r="D110" s="155">
        <f>SUM(D103:D109)</f>
        <v>77460</v>
      </c>
      <c r="E110" s="155"/>
      <c r="F110" s="156">
        <f>SUM(F103:F109)</f>
        <v>109999.1425</v>
      </c>
      <c r="G110" s="157">
        <f>SUM(G103:G109)</f>
        <v>4860565.71</v>
      </c>
    </row>
    <row r="111" spans="1:9" ht="16.5" thickBot="1" x14ac:dyDescent="0.3">
      <c r="A111" s="158" t="s">
        <v>366</v>
      </c>
      <c r="B111" s="159">
        <f>B110+B101+B96+B84+B77</f>
        <v>64</v>
      </c>
      <c r="C111" s="160">
        <f>C110+C101+C96+C84+C77</f>
        <v>1001831.6425000001</v>
      </c>
      <c r="D111" s="160">
        <f>D110+D101+D96+D84+D77</f>
        <v>379650</v>
      </c>
      <c r="E111" s="161"/>
      <c r="F111" s="160">
        <f>F110+F101+F96+F84+F77</f>
        <v>622181.64250000007</v>
      </c>
      <c r="G111" s="160">
        <f>G110+G101+G96+G84+G77</f>
        <v>22303327.710000001</v>
      </c>
    </row>
    <row r="112" spans="1:9" ht="18" customHeight="1" thickBot="1" x14ac:dyDescent="0.3">
      <c r="A112" s="158" t="s">
        <v>367</v>
      </c>
      <c r="B112" s="159">
        <f>B111+B69</f>
        <v>131</v>
      </c>
      <c r="C112" s="161">
        <f>C111+C69</f>
        <v>2148956.0425</v>
      </c>
      <c r="D112" s="161">
        <f>D111+D69</f>
        <v>804064</v>
      </c>
      <c r="E112" s="161"/>
      <c r="F112" s="161">
        <f>F111+F69</f>
        <v>1344892.0425</v>
      </c>
      <c r="G112" s="161">
        <f>'гос.зад на 2022 год '!E26+'гос.зад на 2022 год '!E64</f>
        <v>46319148.510000005</v>
      </c>
      <c r="H112" s="50">
        <f>G69+G111</f>
        <v>46319148.510000005</v>
      </c>
      <c r="I112" s="50">
        <f>G112-H112</f>
        <v>0</v>
      </c>
    </row>
    <row r="113" spans="1:7" ht="18" customHeight="1" x14ac:dyDescent="0.25">
      <c r="A113" s="166"/>
      <c r="B113" s="167"/>
      <c r="C113" s="168"/>
      <c r="D113" s="168"/>
      <c r="E113" s="168"/>
      <c r="F113" s="168"/>
      <c r="G113" s="168"/>
    </row>
    <row r="114" spans="1:7" ht="35.25" customHeight="1" x14ac:dyDescent="0.25">
      <c r="A114" s="284" t="s">
        <v>344</v>
      </c>
      <c r="B114" s="284"/>
      <c r="C114" s="284"/>
      <c r="D114" s="284"/>
      <c r="E114" s="284"/>
      <c r="F114" s="284"/>
      <c r="G114" s="284"/>
    </row>
    <row r="115" spans="1:7" ht="18.75" x14ac:dyDescent="0.3">
      <c r="A115" s="9"/>
      <c r="B115" s="10"/>
    </row>
    <row r="116" spans="1:7" ht="18.75" x14ac:dyDescent="0.25">
      <c r="A116" s="269" t="s">
        <v>180</v>
      </c>
      <c r="B116" s="269"/>
      <c r="C116" s="269"/>
      <c r="D116" s="269"/>
      <c r="E116" s="269"/>
      <c r="F116" s="269"/>
      <c r="G116" s="269"/>
    </row>
    <row r="117" spans="1:7" ht="18.75" x14ac:dyDescent="0.25">
      <c r="A117" s="125"/>
      <c r="B117" s="125"/>
      <c r="C117" s="125"/>
      <c r="D117" s="125"/>
      <c r="E117" s="125"/>
      <c r="F117" s="125"/>
      <c r="G117" s="125"/>
    </row>
    <row r="118" spans="1:7" ht="18.75" x14ac:dyDescent="0.3">
      <c r="A118" s="9" t="s">
        <v>145</v>
      </c>
      <c r="B118" s="10" t="s">
        <v>372</v>
      </c>
    </row>
    <row r="119" spans="1:7" x14ac:dyDescent="0.25">
      <c r="A119" s="11"/>
    </row>
    <row r="120" spans="1:7" x14ac:dyDescent="0.25">
      <c r="A120" s="270" t="s">
        <v>84</v>
      </c>
      <c r="B120" s="270" t="s">
        <v>244</v>
      </c>
      <c r="C120" s="270"/>
      <c r="D120" s="270" t="s">
        <v>185</v>
      </c>
      <c r="E120" s="270"/>
      <c r="F120" s="270" t="s">
        <v>85</v>
      </c>
      <c r="G120" s="270"/>
    </row>
    <row r="121" spans="1:7" ht="22.5" customHeight="1" x14ac:dyDescent="0.25">
      <c r="A121" s="270"/>
      <c r="B121" s="270"/>
      <c r="C121" s="270"/>
      <c r="D121" s="270"/>
      <c r="E121" s="270"/>
      <c r="F121" s="270"/>
      <c r="G121" s="270"/>
    </row>
    <row r="122" spans="1:7" ht="18.75" x14ac:dyDescent="0.25">
      <c r="A122" s="124">
        <v>1</v>
      </c>
      <c r="B122" s="270">
        <v>2</v>
      </c>
      <c r="C122" s="270"/>
      <c r="D122" s="270">
        <v>3</v>
      </c>
      <c r="E122" s="270"/>
      <c r="F122" s="270">
        <v>4</v>
      </c>
      <c r="G122" s="270"/>
    </row>
    <row r="123" spans="1:7" ht="37.5" customHeight="1" x14ac:dyDescent="0.25">
      <c r="A123" s="164">
        <v>131</v>
      </c>
      <c r="B123" s="273">
        <f>'гос.зад на 2022 год '!D26+'гос.зад на 2022 год '!D28+'гос.зад на 2022 год '!D64</f>
        <v>60352900.090000004</v>
      </c>
      <c r="C123" s="273"/>
      <c r="D123" s="273">
        <f>G112</f>
        <v>46319148.510000005</v>
      </c>
      <c r="E123" s="273"/>
      <c r="F123" s="273">
        <f>B123-D123</f>
        <v>14033751.579999998</v>
      </c>
      <c r="G123" s="273"/>
    </row>
    <row r="124" spans="1:7" ht="18.75" x14ac:dyDescent="0.25">
      <c r="A124" s="8"/>
    </row>
    <row r="125" spans="1:7" ht="18.75" x14ac:dyDescent="0.25">
      <c r="A125" s="271" t="s">
        <v>203</v>
      </c>
      <c r="B125" s="271"/>
      <c r="C125" s="271"/>
      <c r="D125" s="271"/>
      <c r="E125" s="271"/>
      <c r="F125" s="271"/>
      <c r="G125" s="271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56.25" x14ac:dyDescent="0.25">
      <c r="A129" s="124" t="s">
        <v>86</v>
      </c>
      <c r="B129" s="124" t="s">
        <v>87</v>
      </c>
      <c r="C129" s="270" t="s">
        <v>88</v>
      </c>
      <c r="D129" s="270"/>
      <c r="E129" s="124" t="s">
        <v>89</v>
      </c>
      <c r="F129" s="270" t="s">
        <v>90</v>
      </c>
      <c r="G129" s="270"/>
    </row>
    <row r="130" spans="1:7" ht="18.75" x14ac:dyDescent="0.25">
      <c r="A130" s="124">
        <v>1</v>
      </c>
      <c r="B130" s="124">
        <v>2</v>
      </c>
      <c r="C130" s="270">
        <v>3</v>
      </c>
      <c r="D130" s="270"/>
      <c r="E130" s="124">
        <v>4</v>
      </c>
      <c r="F130" s="270">
        <v>5</v>
      </c>
      <c r="G130" s="270"/>
    </row>
    <row r="131" spans="1:7" ht="18.75" x14ac:dyDescent="0.25">
      <c r="A131" s="13" t="s">
        <v>91</v>
      </c>
      <c r="B131" s="163">
        <v>10</v>
      </c>
      <c r="C131" s="273">
        <v>100</v>
      </c>
      <c r="D131" s="273"/>
      <c r="E131" s="163">
        <v>12</v>
      </c>
      <c r="F131" s="273">
        <f>'гос.зад на 2022 год '!D27</f>
        <v>12300</v>
      </c>
      <c r="G131" s="273"/>
    </row>
    <row r="132" spans="1:7" ht="18.75" x14ac:dyDescent="0.25">
      <c r="A132" s="8"/>
    </row>
    <row r="133" spans="1:7" ht="18.75" x14ac:dyDescent="0.25">
      <c r="A133" s="271" t="s">
        <v>205</v>
      </c>
      <c r="B133" s="271"/>
      <c r="C133" s="271"/>
      <c r="D133" s="271"/>
      <c r="E133" s="271"/>
      <c r="F133" s="271"/>
      <c r="G133" s="271"/>
    </row>
    <row r="134" spans="1:7" ht="18.75" x14ac:dyDescent="0.25">
      <c r="A134" s="174"/>
      <c r="B134" s="174"/>
      <c r="C134" s="174"/>
      <c r="D134" s="174"/>
      <c r="E134" s="174"/>
      <c r="F134" s="174"/>
      <c r="G134" s="174"/>
    </row>
    <row r="135" spans="1:7" ht="18.75" x14ac:dyDescent="0.3">
      <c r="A135" s="9" t="s">
        <v>147</v>
      </c>
      <c r="B135" s="10">
        <v>112</v>
      </c>
    </row>
    <row r="136" spans="1:7" x14ac:dyDescent="0.25">
      <c r="A136" s="11"/>
    </row>
    <row r="137" spans="1:7" ht="56.25" x14ac:dyDescent="0.25">
      <c r="A137" s="175" t="s">
        <v>86</v>
      </c>
      <c r="B137" s="175" t="s">
        <v>87</v>
      </c>
      <c r="C137" s="270" t="s">
        <v>88</v>
      </c>
      <c r="D137" s="270"/>
      <c r="E137" s="175" t="s">
        <v>89</v>
      </c>
      <c r="F137" s="270" t="s">
        <v>90</v>
      </c>
      <c r="G137" s="270"/>
    </row>
    <row r="138" spans="1:7" ht="18.75" x14ac:dyDescent="0.25">
      <c r="A138" s="175">
        <v>1</v>
      </c>
      <c r="B138" s="175">
        <v>2</v>
      </c>
      <c r="C138" s="270">
        <v>3</v>
      </c>
      <c r="D138" s="270"/>
      <c r="E138" s="175">
        <v>4</v>
      </c>
      <c r="F138" s="270">
        <v>5</v>
      </c>
      <c r="G138" s="270"/>
    </row>
    <row r="139" spans="1:7" ht="18.75" x14ac:dyDescent="0.25">
      <c r="A139" s="13" t="s">
        <v>95</v>
      </c>
      <c r="B139" s="175"/>
      <c r="C139" s="273"/>
      <c r="D139" s="273"/>
      <c r="E139" s="175"/>
      <c r="F139" s="273">
        <f>'гос.зад на 2022 год '!E54</f>
        <v>80000</v>
      </c>
      <c r="G139" s="273"/>
    </row>
    <row r="140" spans="1:7" ht="18.75" x14ac:dyDescent="0.25">
      <c r="A140" s="15"/>
      <c r="B140" s="16"/>
      <c r="C140" s="19"/>
      <c r="D140" s="19"/>
      <c r="E140" s="20"/>
      <c r="F140" s="82"/>
      <c r="G140" s="82"/>
    </row>
    <row r="141" spans="1:7" ht="18.75" x14ac:dyDescent="0.25">
      <c r="A141" s="271" t="s">
        <v>207</v>
      </c>
      <c r="B141" s="271"/>
      <c r="C141" s="271"/>
      <c r="D141" s="271"/>
      <c r="E141" s="271"/>
      <c r="F141" s="271"/>
      <c r="G141" s="271"/>
    </row>
    <row r="142" spans="1:7" ht="18.75" x14ac:dyDescent="0.25">
      <c r="A142" s="126"/>
      <c r="B142" s="126"/>
      <c r="C142" s="126"/>
      <c r="D142" s="126"/>
      <c r="E142" s="126"/>
      <c r="F142" s="126"/>
      <c r="G142" s="126"/>
    </row>
    <row r="143" spans="1:7" ht="18.75" x14ac:dyDescent="0.3">
      <c r="A143" s="9" t="s">
        <v>145</v>
      </c>
      <c r="B143" s="10">
        <v>111</v>
      </c>
    </row>
    <row r="144" spans="1:7" x14ac:dyDescent="0.25">
      <c r="A144" s="11"/>
    </row>
    <row r="145" spans="1:7" ht="38.25" customHeight="1" x14ac:dyDescent="0.25">
      <c r="A145" s="124" t="s">
        <v>86</v>
      </c>
      <c r="B145" s="250" t="s">
        <v>99</v>
      </c>
      <c r="C145" s="251"/>
      <c r="D145" s="250" t="s">
        <v>100</v>
      </c>
      <c r="E145" s="251"/>
      <c r="F145" s="250" t="s">
        <v>101</v>
      </c>
      <c r="G145" s="251"/>
    </row>
    <row r="146" spans="1:7" ht="18.75" x14ac:dyDescent="0.3">
      <c r="A146" s="124">
        <v>1</v>
      </c>
      <c r="B146" s="250">
        <v>2</v>
      </c>
      <c r="C146" s="251"/>
      <c r="D146" s="250">
        <v>3</v>
      </c>
      <c r="E146" s="251"/>
      <c r="F146" s="258">
        <v>4</v>
      </c>
      <c r="G146" s="259"/>
    </row>
    <row r="147" spans="1:7" ht="56.25" x14ac:dyDescent="0.25">
      <c r="A147" s="13" t="s">
        <v>102</v>
      </c>
      <c r="B147" s="250">
        <v>50</v>
      </c>
      <c r="C147" s="251"/>
      <c r="D147" s="250">
        <v>6000</v>
      </c>
      <c r="E147" s="251"/>
      <c r="F147" s="294">
        <f>'гос.зад на 2022 год '!D65</f>
        <v>300000</v>
      </c>
      <c r="G147" s="295"/>
    </row>
    <row r="148" spans="1:7" ht="18.75" x14ac:dyDescent="0.25">
      <c r="A148" s="15"/>
      <c r="B148" s="19"/>
      <c r="C148" s="19"/>
      <c r="D148" s="19"/>
      <c r="E148" s="19"/>
      <c r="F148" s="185"/>
      <c r="G148" s="185"/>
    </row>
    <row r="149" spans="1:7" ht="18.75" x14ac:dyDescent="0.25">
      <c r="A149" s="269" t="s">
        <v>445</v>
      </c>
      <c r="B149" s="269"/>
      <c r="C149" s="269"/>
      <c r="D149" s="269"/>
      <c r="E149" s="269"/>
      <c r="F149" s="269"/>
      <c r="G149" s="269"/>
    </row>
    <row r="150" spans="1:7" ht="15.75" x14ac:dyDescent="0.25">
      <c r="A150" s="18"/>
    </row>
    <row r="151" spans="1:7" ht="18.75" x14ac:dyDescent="0.3">
      <c r="A151" s="9" t="s">
        <v>147</v>
      </c>
      <c r="B151" s="10">
        <v>321</v>
      </c>
    </row>
    <row r="152" spans="1:7" x14ac:dyDescent="0.25">
      <c r="A152" s="11"/>
    </row>
    <row r="153" spans="1:7" ht="57.6" customHeight="1" x14ac:dyDescent="0.25">
      <c r="A153" s="179" t="s">
        <v>86</v>
      </c>
      <c r="B153" s="270" t="s">
        <v>106</v>
      </c>
      <c r="C153" s="270"/>
      <c r="D153" s="270" t="s">
        <v>107</v>
      </c>
      <c r="E153" s="270"/>
      <c r="F153" s="270" t="s">
        <v>108</v>
      </c>
      <c r="G153" s="270"/>
    </row>
    <row r="154" spans="1:7" ht="18.75" x14ac:dyDescent="0.25">
      <c r="A154" s="179">
        <v>1</v>
      </c>
      <c r="B154" s="250">
        <v>2</v>
      </c>
      <c r="C154" s="251"/>
      <c r="D154" s="250">
        <v>3</v>
      </c>
      <c r="E154" s="251"/>
      <c r="F154" s="250">
        <v>4</v>
      </c>
      <c r="G154" s="251"/>
    </row>
    <row r="155" spans="1:7" ht="93.75" x14ac:dyDescent="0.25">
      <c r="A155" s="13" t="s">
        <v>27</v>
      </c>
      <c r="B155" s="270"/>
      <c r="C155" s="270"/>
      <c r="D155" s="270"/>
      <c r="E155" s="270"/>
      <c r="F155" s="273">
        <f>'гос.зад на 2022 год '!E62</f>
        <v>0</v>
      </c>
      <c r="G155" s="273"/>
    </row>
    <row r="156" spans="1:7" ht="18.75" x14ac:dyDescent="0.25">
      <c r="A156" s="15"/>
      <c r="B156" s="16"/>
      <c r="C156" s="16"/>
      <c r="D156" s="16"/>
      <c r="E156" s="16"/>
      <c r="F156" s="17"/>
      <c r="G156" s="17"/>
    </row>
    <row r="157" spans="1:7" ht="18.75" x14ac:dyDescent="0.25">
      <c r="A157" s="271" t="s">
        <v>226</v>
      </c>
      <c r="B157" s="271"/>
      <c r="C157" s="271"/>
      <c r="D157" s="271"/>
      <c r="E157" s="271"/>
      <c r="F157" s="271"/>
      <c r="G157" s="271"/>
    </row>
    <row r="158" spans="1:7" ht="18.75" x14ac:dyDescent="0.3">
      <c r="A158" s="9" t="s">
        <v>145</v>
      </c>
      <c r="B158" s="10">
        <v>851</v>
      </c>
    </row>
    <row r="159" spans="1:7" x14ac:dyDescent="0.25">
      <c r="A159" s="11"/>
    </row>
    <row r="160" spans="1:7" ht="18.75" x14ac:dyDescent="0.25">
      <c r="A160" s="106" t="s">
        <v>86</v>
      </c>
      <c r="B160" s="270" t="s">
        <v>109</v>
      </c>
      <c r="C160" s="270"/>
      <c r="D160" s="270" t="s">
        <v>110</v>
      </c>
      <c r="E160" s="270"/>
      <c r="F160" s="270" t="s">
        <v>111</v>
      </c>
      <c r="G160" s="270"/>
    </row>
    <row r="161" spans="1:8" ht="18.75" x14ac:dyDescent="0.25">
      <c r="A161" s="106">
        <v>1</v>
      </c>
      <c r="B161" s="250">
        <v>2</v>
      </c>
      <c r="C161" s="251"/>
      <c r="D161" s="278">
        <v>3</v>
      </c>
      <c r="E161" s="279"/>
      <c r="F161" s="278">
        <v>4</v>
      </c>
      <c r="G161" s="279"/>
    </row>
    <row r="162" spans="1:8" ht="18.75" x14ac:dyDescent="0.25">
      <c r="A162" s="13" t="s">
        <v>112</v>
      </c>
      <c r="B162" s="244">
        <v>800815790</v>
      </c>
      <c r="C162" s="245"/>
      <c r="D162" s="280">
        <v>2.2000000000000002</v>
      </c>
      <c r="E162" s="281"/>
      <c r="F162" s="280">
        <f>'гос.зад на 2022 год '!D71</f>
        <v>19861943.379999999</v>
      </c>
      <c r="G162" s="281"/>
      <c r="H162" s="50"/>
    </row>
    <row r="163" spans="1:8" ht="18.75" x14ac:dyDescent="0.25">
      <c r="A163" s="13" t="s">
        <v>113</v>
      </c>
      <c r="B163" s="244">
        <v>149599732.55000001</v>
      </c>
      <c r="C163" s="245"/>
      <c r="D163" s="244">
        <v>1.5</v>
      </c>
      <c r="E163" s="245"/>
      <c r="F163" s="282"/>
      <c r="G163" s="283"/>
    </row>
    <row r="164" spans="1:8" ht="18.75" x14ac:dyDescent="0.25">
      <c r="A164" s="15"/>
      <c r="B164" s="16"/>
      <c r="C164" s="19"/>
      <c r="D164" s="20"/>
      <c r="E164" s="21"/>
      <c r="F164" s="21"/>
      <c r="G164" s="21"/>
    </row>
    <row r="165" spans="1:8" ht="18.75" x14ac:dyDescent="0.25">
      <c r="A165" s="9" t="s">
        <v>114</v>
      </c>
    </row>
    <row r="166" spans="1:8" x14ac:dyDescent="0.25">
      <c r="A166" s="11"/>
    </row>
    <row r="167" spans="1:8" ht="36" customHeight="1" x14ac:dyDescent="0.25">
      <c r="A167" s="106" t="s">
        <v>86</v>
      </c>
      <c r="B167" s="270" t="s">
        <v>109</v>
      </c>
      <c r="C167" s="270"/>
      <c r="D167" s="270" t="s">
        <v>110</v>
      </c>
      <c r="E167" s="270"/>
      <c r="F167" s="270" t="s">
        <v>115</v>
      </c>
      <c r="G167" s="270"/>
    </row>
    <row r="168" spans="1:8" ht="18.75" x14ac:dyDescent="0.3">
      <c r="A168" s="106">
        <v>1</v>
      </c>
      <c r="B168" s="250">
        <v>2</v>
      </c>
      <c r="C168" s="251"/>
      <c r="D168" s="250">
        <v>3</v>
      </c>
      <c r="E168" s="251"/>
      <c r="F168" s="258">
        <v>4</v>
      </c>
      <c r="G168" s="259"/>
    </row>
    <row r="169" spans="1:8" ht="18.75" x14ac:dyDescent="0.25">
      <c r="A169" s="13" t="s">
        <v>116</v>
      </c>
      <c r="B169" s="250" t="s">
        <v>117</v>
      </c>
      <c r="C169" s="251"/>
      <c r="D169" s="250" t="s">
        <v>117</v>
      </c>
      <c r="E169" s="251"/>
      <c r="F169" s="294">
        <f>'гос.зад на 2022 год '!D72</f>
        <v>51650</v>
      </c>
      <c r="G169" s="296"/>
    </row>
    <row r="170" spans="1:8" ht="18.75" x14ac:dyDescent="0.25">
      <c r="A170" s="9"/>
    </row>
    <row r="171" spans="1:8" ht="18.75" x14ac:dyDescent="0.25">
      <c r="A171" s="9" t="s">
        <v>119</v>
      </c>
    </row>
    <row r="172" spans="1:8" x14ac:dyDescent="0.25">
      <c r="A172" s="11"/>
    </row>
    <row r="173" spans="1:8" ht="18.75" x14ac:dyDescent="0.25">
      <c r="A173" s="106" t="s">
        <v>86</v>
      </c>
      <c r="B173" s="270" t="s">
        <v>109</v>
      </c>
      <c r="C173" s="270"/>
      <c r="D173" s="270" t="s">
        <v>110</v>
      </c>
      <c r="E173" s="270"/>
      <c r="F173" s="270" t="s">
        <v>115</v>
      </c>
      <c r="G173" s="270"/>
    </row>
    <row r="174" spans="1:8" ht="18.75" x14ac:dyDescent="0.3">
      <c r="A174" s="106">
        <v>1</v>
      </c>
      <c r="B174" s="250">
        <v>2</v>
      </c>
      <c r="C174" s="251"/>
      <c r="D174" s="250">
        <v>3</v>
      </c>
      <c r="E174" s="251"/>
      <c r="F174" s="258">
        <v>4</v>
      </c>
      <c r="G174" s="259"/>
    </row>
    <row r="175" spans="1:8" ht="37.5" x14ac:dyDescent="0.25">
      <c r="A175" s="13" t="s">
        <v>155</v>
      </c>
      <c r="B175" s="250" t="s">
        <v>117</v>
      </c>
      <c r="C175" s="251"/>
      <c r="D175" s="250" t="s">
        <v>117</v>
      </c>
      <c r="E175" s="251"/>
      <c r="F175" s="294">
        <f>'гос.зад на 2022 год '!D73</f>
        <v>1300</v>
      </c>
      <c r="G175" s="295"/>
    </row>
    <row r="176" spans="1:8" ht="18.75" x14ac:dyDescent="0.25">
      <c r="A176" s="8"/>
    </row>
    <row r="177" spans="1:7" ht="18.75" x14ac:dyDescent="0.25">
      <c r="A177" s="269" t="s">
        <v>216</v>
      </c>
      <c r="B177" s="269"/>
      <c r="C177" s="269"/>
      <c r="D177" s="269"/>
      <c r="E177" s="269"/>
      <c r="F177" s="269"/>
      <c r="G177" s="269"/>
    </row>
    <row r="178" spans="1:7" ht="18.75" x14ac:dyDescent="0.25">
      <c r="A178" s="9"/>
    </row>
    <row r="179" spans="1:7" ht="18.75" x14ac:dyDescent="0.3">
      <c r="A179" s="9" t="s">
        <v>145</v>
      </c>
      <c r="B179" s="10">
        <v>244</v>
      </c>
    </row>
    <row r="180" spans="1:7" ht="18.75" x14ac:dyDescent="0.25">
      <c r="A180" s="8"/>
    </row>
    <row r="181" spans="1:7" ht="38.25" customHeight="1" x14ac:dyDescent="0.25">
      <c r="A181" s="106" t="s">
        <v>86</v>
      </c>
      <c r="B181" s="270" t="s">
        <v>121</v>
      </c>
      <c r="C181" s="270"/>
      <c r="D181" s="270" t="s">
        <v>122</v>
      </c>
      <c r="E181" s="270"/>
      <c r="F181" s="270" t="s">
        <v>186</v>
      </c>
      <c r="G181" s="270"/>
    </row>
    <row r="182" spans="1:7" ht="18.75" x14ac:dyDescent="0.25">
      <c r="A182" s="106">
        <v>1</v>
      </c>
      <c r="B182" s="250">
        <v>2</v>
      </c>
      <c r="C182" s="251"/>
      <c r="D182" s="250">
        <v>3</v>
      </c>
      <c r="E182" s="251"/>
      <c r="F182" s="278">
        <v>4</v>
      </c>
      <c r="G182" s="279"/>
    </row>
    <row r="183" spans="1:7" ht="18" customHeight="1" x14ac:dyDescent="0.25">
      <c r="A183" s="13" t="s">
        <v>373</v>
      </c>
      <c r="B183" s="250">
        <v>7</v>
      </c>
      <c r="C183" s="251"/>
      <c r="D183" s="244">
        <v>1363.80952</v>
      </c>
      <c r="E183" s="245"/>
      <c r="F183" s="244">
        <f>B183*D183*12</f>
        <v>114559.99967999999</v>
      </c>
      <c r="G183" s="245"/>
    </row>
    <row r="184" spans="1:7" ht="18.75" customHeight="1" x14ac:dyDescent="0.25">
      <c r="A184" s="13" t="s">
        <v>374</v>
      </c>
      <c r="B184" s="250">
        <v>6</v>
      </c>
      <c r="C184" s="251"/>
      <c r="D184" s="244">
        <v>1395</v>
      </c>
      <c r="E184" s="245"/>
      <c r="F184" s="244">
        <v>100440</v>
      </c>
      <c r="G184" s="245"/>
    </row>
    <row r="185" spans="1:7" ht="18.75" x14ac:dyDescent="0.25">
      <c r="A185" s="13" t="s">
        <v>431</v>
      </c>
      <c r="B185" s="250" t="s">
        <v>117</v>
      </c>
      <c r="C185" s="251"/>
      <c r="D185" s="250" t="s">
        <v>117</v>
      </c>
      <c r="E185" s="251"/>
      <c r="F185" s="244">
        <v>2000</v>
      </c>
      <c r="G185" s="245"/>
    </row>
    <row r="186" spans="1:7" ht="18.75" x14ac:dyDescent="0.25">
      <c r="A186" s="13" t="s">
        <v>427</v>
      </c>
      <c r="B186" s="250" t="s">
        <v>117</v>
      </c>
      <c r="C186" s="251"/>
      <c r="D186" s="250" t="s">
        <v>117</v>
      </c>
      <c r="E186" s="251"/>
      <c r="F186" s="244">
        <v>2000</v>
      </c>
      <c r="G186" s="245"/>
    </row>
    <row r="187" spans="1:7" ht="18.75" x14ac:dyDescent="0.25">
      <c r="A187" s="13" t="s">
        <v>375</v>
      </c>
      <c r="B187" s="301" t="s">
        <v>274</v>
      </c>
      <c r="C187" s="302"/>
      <c r="D187" s="280">
        <v>117488</v>
      </c>
      <c r="E187" s="281"/>
      <c r="F187" s="280">
        <f>1594480+606084.23</f>
        <v>2200564.23</v>
      </c>
      <c r="G187" s="281"/>
    </row>
    <row r="188" spans="1:7" ht="18.75" x14ac:dyDescent="0.25">
      <c r="A188" s="13" t="s">
        <v>376</v>
      </c>
      <c r="B188" s="303"/>
      <c r="C188" s="304"/>
      <c r="D188" s="282"/>
      <c r="E188" s="283"/>
      <c r="F188" s="282"/>
      <c r="G188" s="283"/>
    </row>
    <row r="189" spans="1:7" ht="18.75" x14ac:dyDescent="0.25">
      <c r="A189" s="13" t="s">
        <v>345</v>
      </c>
      <c r="B189" s="278"/>
      <c r="C189" s="279"/>
      <c r="D189" s="278"/>
      <c r="E189" s="279"/>
      <c r="F189" s="297">
        <f>'гос.зад на 2022 год '!D34</f>
        <v>2419564.23</v>
      </c>
      <c r="G189" s="298"/>
    </row>
    <row r="190" spans="1:7" x14ac:dyDescent="0.25">
      <c r="A190" s="23"/>
    </row>
    <row r="191" spans="1:7" ht="18.75" x14ac:dyDescent="0.25">
      <c r="A191" s="269" t="s">
        <v>217</v>
      </c>
      <c r="B191" s="269"/>
      <c r="C191" s="269"/>
      <c r="D191" s="269"/>
      <c r="E191" s="269"/>
      <c r="F191" s="269"/>
      <c r="G191" s="269"/>
    </row>
    <row r="192" spans="1:7" ht="18.75" x14ac:dyDescent="0.25">
      <c r="A192" s="9"/>
    </row>
    <row r="193" spans="1:7" ht="18.75" x14ac:dyDescent="0.3">
      <c r="A193" s="9" t="s">
        <v>145</v>
      </c>
      <c r="B193" s="10">
        <v>244</v>
      </c>
    </row>
    <row r="194" spans="1:7" ht="18.75" x14ac:dyDescent="0.25">
      <c r="A194" s="8"/>
    </row>
    <row r="195" spans="1:7" ht="18.75" x14ac:dyDescent="0.25">
      <c r="A195" s="175" t="s">
        <v>86</v>
      </c>
      <c r="B195" s="270" t="s">
        <v>125</v>
      </c>
      <c r="C195" s="270"/>
      <c r="D195" s="270" t="s">
        <v>93</v>
      </c>
      <c r="E195" s="270"/>
      <c r="F195" s="270" t="s">
        <v>186</v>
      </c>
      <c r="G195" s="270"/>
    </row>
    <row r="196" spans="1:7" ht="18.75" x14ac:dyDescent="0.25">
      <c r="A196" s="175">
        <v>1</v>
      </c>
      <c r="B196" s="250">
        <v>2</v>
      </c>
      <c r="C196" s="251"/>
      <c r="D196" s="250">
        <v>3</v>
      </c>
      <c r="E196" s="251"/>
      <c r="F196" s="250">
        <v>4</v>
      </c>
      <c r="G196" s="251"/>
    </row>
    <row r="197" spans="1:7" ht="18.75" x14ac:dyDescent="0.25">
      <c r="A197" s="13"/>
      <c r="B197" s="250"/>
      <c r="C197" s="251"/>
      <c r="D197" s="250"/>
      <c r="E197" s="251"/>
      <c r="F197" s="244"/>
      <c r="G197" s="245"/>
    </row>
    <row r="198" spans="1:7" ht="18.75" x14ac:dyDescent="0.25">
      <c r="A198" s="13" t="s">
        <v>345</v>
      </c>
      <c r="B198" s="250"/>
      <c r="C198" s="251"/>
      <c r="D198" s="250"/>
      <c r="E198" s="251"/>
      <c r="F198" s="244">
        <f>'гос.зад на 2022 год '!E37</f>
        <v>0</v>
      </c>
      <c r="G198" s="245"/>
    </row>
    <row r="199" spans="1:7" x14ac:dyDescent="0.25">
      <c r="A199" s="23"/>
    </row>
    <row r="200" spans="1:7" ht="18.75" x14ac:dyDescent="0.25">
      <c r="A200" s="269" t="s">
        <v>218</v>
      </c>
      <c r="B200" s="269"/>
      <c r="C200" s="269"/>
      <c r="D200" s="269"/>
      <c r="E200" s="269"/>
      <c r="F200" s="269"/>
      <c r="G200" s="269"/>
    </row>
    <row r="201" spans="1:7" ht="18.75" x14ac:dyDescent="0.25">
      <c r="A201" s="9"/>
    </row>
    <row r="202" spans="1:7" ht="18.75" x14ac:dyDescent="0.3">
      <c r="A202" s="9" t="s">
        <v>145</v>
      </c>
      <c r="B202" s="186" t="s">
        <v>440</v>
      </c>
    </row>
    <row r="203" spans="1:7" ht="18.75" x14ac:dyDescent="0.25">
      <c r="A203" s="8"/>
    </row>
    <row r="204" spans="1:7" ht="18.75" x14ac:dyDescent="0.25">
      <c r="A204" s="106" t="s">
        <v>86</v>
      </c>
      <c r="B204" s="270" t="s">
        <v>126</v>
      </c>
      <c r="C204" s="270"/>
      <c r="D204" s="270" t="s">
        <v>127</v>
      </c>
      <c r="E204" s="270"/>
      <c r="F204" s="270" t="s">
        <v>94</v>
      </c>
      <c r="G204" s="270"/>
    </row>
    <row r="205" spans="1:7" ht="18.75" x14ac:dyDescent="0.25">
      <c r="A205" s="106">
        <v>1</v>
      </c>
      <c r="B205" s="250">
        <v>2</v>
      </c>
      <c r="C205" s="251"/>
      <c r="D205" s="250">
        <v>3</v>
      </c>
      <c r="E205" s="251"/>
      <c r="F205" s="250">
        <v>4</v>
      </c>
      <c r="G205" s="251"/>
    </row>
    <row r="206" spans="1:7" ht="37.5" x14ac:dyDescent="0.25">
      <c r="A206" s="13" t="s">
        <v>18</v>
      </c>
      <c r="B206" s="250" t="s">
        <v>117</v>
      </c>
      <c r="C206" s="251"/>
      <c r="D206" s="250" t="s">
        <v>117</v>
      </c>
      <c r="E206" s="251"/>
      <c r="F206" s="244">
        <f>'гос.зад на 2022 год '!D41</f>
        <v>0</v>
      </c>
      <c r="G206" s="245"/>
    </row>
    <row r="207" spans="1:7" ht="37.5" x14ac:dyDescent="0.25">
      <c r="A207" s="13" t="s">
        <v>432</v>
      </c>
      <c r="B207" s="250" t="s">
        <v>475</v>
      </c>
      <c r="C207" s="251"/>
      <c r="D207" s="250">
        <v>6082.89</v>
      </c>
      <c r="E207" s="251"/>
      <c r="F207" s="280">
        <f>'гос.зад на 2022 год '!D43</f>
        <v>3890688.38</v>
      </c>
      <c r="G207" s="281"/>
    </row>
    <row r="208" spans="1:7" ht="37.5" x14ac:dyDescent="0.25">
      <c r="A208" s="13" t="s">
        <v>433</v>
      </c>
      <c r="B208" s="250" t="s">
        <v>443</v>
      </c>
      <c r="C208" s="251"/>
      <c r="D208" s="250">
        <v>7300</v>
      </c>
      <c r="E208" s="251"/>
      <c r="F208" s="282"/>
      <c r="G208" s="283"/>
    </row>
    <row r="209" spans="1:7" ht="56.25" x14ac:dyDescent="0.25">
      <c r="A209" s="13" t="s">
        <v>377</v>
      </c>
      <c r="B209" s="250" t="s">
        <v>379</v>
      </c>
      <c r="C209" s="251"/>
      <c r="D209" s="250">
        <v>5.39</v>
      </c>
      <c r="E209" s="251"/>
      <c r="F209" s="280">
        <f>'гос.зад на 2022 год '!D45</f>
        <v>27315317.02</v>
      </c>
      <c r="G209" s="281"/>
    </row>
    <row r="210" spans="1:7" ht="56.25" x14ac:dyDescent="0.25">
      <c r="A210" s="13" t="s">
        <v>378</v>
      </c>
      <c r="B210" s="250" t="s">
        <v>476</v>
      </c>
      <c r="C210" s="251"/>
      <c r="D210" s="250">
        <v>1112.71</v>
      </c>
      <c r="E210" s="251"/>
      <c r="F210" s="299"/>
      <c r="G210" s="300"/>
    </row>
    <row r="211" spans="1:7" ht="56.25" x14ac:dyDescent="0.25">
      <c r="A211" s="13" t="s">
        <v>380</v>
      </c>
      <c r="B211" s="250" t="s">
        <v>477</v>
      </c>
      <c r="C211" s="251"/>
      <c r="D211" s="250">
        <v>64.37</v>
      </c>
      <c r="E211" s="251"/>
      <c r="F211" s="280">
        <f>'гос.зад на 2022 год '!D46</f>
        <v>6693716.8600000003</v>
      </c>
      <c r="G211" s="281"/>
    </row>
    <row r="212" spans="1:7" ht="56.25" x14ac:dyDescent="0.25">
      <c r="A212" s="13" t="s">
        <v>381</v>
      </c>
      <c r="B212" s="250" t="s">
        <v>426</v>
      </c>
      <c r="C212" s="251"/>
      <c r="D212" s="250">
        <v>100.23</v>
      </c>
      <c r="E212" s="251"/>
      <c r="F212" s="282"/>
      <c r="G212" s="283"/>
    </row>
    <row r="213" spans="1:7" ht="56.25" x14ac:dyDescent="0.25">
      <c r="A213" s="24" t="s">
        <v>382</v>
      </c>
      <c r="B213" s="250" t="s">
        <v>478</v>
      </c>
      <c r="C213" s="251"/>
      <c r="D213" s="250">
        <v>654.73</v>
      </c>
      <c r="E213" s="251"/>
      <c r="F213" s="280">
        <f>'гос.зад на 2022 год '!D47</f>
        <v>589481.1</v>
      </c>
      <c r="G213" s="281"/>
    </row>
    <row r="214" spans="1:7" ht="56.25" x14ac:dyDescent="0.25">
      <c r="A214" s="24" t="s">
        <v>383</v>
      </c>
      <c r="B214" s="250" t="s">
        <v>419</v>
      </c>
      <c r="C214" s="251"/>
      <c r="D214" s="250">
        <v>665</v>
      </c>
      <c r="E214" s="251"/>
      <c r="F214" s="282"/>
      <c r="G214" s="283"/>
    </row>
    <row r="215" spans="1:7" ht="18.75" x14ac:dyDescent="0.25">
      <c r="A215" s="24" t="s">
        <v>312</v>
      </c>
      <c r="B215" s="250"/>
      <c r="C215" s="251"/>
      <c r="D215" s="250"/>
      <c r="E215" s="251"/>
      <c r="F215" s="244">
        <f>F206+F207+F209+F211+F213</f>
        <v>38489203.359999999</v>
      </c>
      <c r="G215" s="245"/>
    </row>
    <row r="216" spans="1:7" ht="18.75" x14ac:dyDescent="0.25">
      <c r="A216" s="27"/>
      <c r="B216" s="26"/>
      <c r="C216" s="26"/>
      <c r="D216" s="26"/>
      <c r="E216" s="26"/>
      <c r="F216" s="26"/>
      <c r="G216" s="26"/>
    </row>
    <row r="217" spans="1:7" ht="18.75" x14ac:dyDescent="0.25">
      <c r="A217" s="272" t="s">
        <v>220</v>
      </c>
      <c r="B217" s="272"/>
      <c r="C217" s="272"/>
      <c r="D217" s="272"/>
      <c r="E217" s="272"/>
      <c r="F217" s="272"/>
      <c r="G217" s="272"/>
    </row>
    <row r="218" spans="1:7" ht="18.75" x14ac:dyDescent="0.25">
      <c r="A218" s="165"/>
      <c r="B218" s="165"/>
      <c r="C218" s="165"/>
      <c r="D218" s="165"/>
      <c r="E218" s="165"/>
      <c r="F218" s="165"/>
      <c r="G218" s="165"/>
    </row>
    <row r="219" spans="1:7" ht="18.75" x14ac:dyDescent="0.3">
      <c r="A219" s="9" t="s">
        <v>145</v>
      </c>
      <c r="B219" s="10">
        <v>244</v>
      </c>
    </row>
    <row r="220" spans="1:7" ht="18.75" x14ac:dyDescent="0.25">
      <c r="A220" s="8"/>
    </row>
    <row r="221" spans="1:7" ht="18.75" x14ac:dyDescent="0.25">
      <c r="A221" s="270" t="s">
        <v>86</v>
      </c>
      <c r="B221" s="270"/>
      <c r="C221" s="270"/>
      <c r="D221" s="270" t="s">
        <v>131</v>
      </c>
      <c r="E221" s="270"/>
      <c r="F221" s="270" t="s">
        <v>132</v>
      </c>
      <c r="G221" s="270"/>
    </row>
    <row r="222" spans="1:7" ht="18.75" x14ac:dyDescent="0.3">
      <c r="A222" s="270">
        <v>1</v>
      </c>
      <c r="B222" s="270"/>
      <c r="C222" s="270"/>
      <c r="D222" s="258">
        <v>2</v>
      </c>
      <c r="E222" s="259"/>
      <c r="F222" s="258">
        <v>3</v>
      </c>
      <c r="G222" s="259"/>
    </row>
    <row r="223" spans="1:7" ht="18.75" x14ac:dyDescent="0.3">
      <c r="A223" s="248" t="s">
        <v>384</v>
      </c>
      <c r="B223" s="260"/>
      <c r="C223" s="249"/>
      <c r="D223" s="258"/>
      <c r="E223" s="259"/>
      <c r="F223" s="252"/>
      <c r="G223" s="254"/>
    </row>
    <row r="224" spans="1:7" ht="18.75" x14ac:dyDescent="0.3">
      <c r="A224" s="257" t="s">
        <v>275</v>
      </c>
      <c r="B224" s="257"/>
      <c r="C224" s="257"/>
      <c r="D224" s="258">
        <v>12</v>
      </c>
      <c r="E224" s="259"/>
      <c r="F224" s="255">
        <v>480000</v>
      </c>
      <c r="G224" s="256"/>
    </row>
    <row r="225" spans="1:7" ht="18.75" x14ac:dyDescent="0.3">
      <c r="A225" s="257" t="s">
        <v>276</v>
      </c>
      <c r="B225" s="257"/>
      <c r="C225" s="257"/>
      <c r="D225" s="258">
        <v>12</v>
      </c>
      <c r="E225" s="259"/>
      <c r="F225" s="255">
        <v>432000</v>
      </c>
      <c r="G225" s="256"/>
    </row>
    <row r="226" spans="1:7" ht="18.75" x14ac:dyDescent="0.3">
      <c r="A226" s="257" t="s">
        <v>277</v>
      </c>
      <c r="B226" s="257"/>
      <c r="C226" s="257"/>
      <c r="D226" s="258">
        <v>12</v>
      </c>
      <c r="E226" s="259"/>
      <c r="F226" s="255">
        <v>363000</v>
      </c>
      <c r="G226" s="256"/>
    </row>
    <row r="227" spans="1:7" ht="18.75" x14ac:dyDescent="0.3">
      <c r="A227" s="257" t="s">
        <v>279</v>
      </c>
      <c r="B227" s="257"/>
      <c r="C227" s="257"/>
      <c r="D227" s="258">
        <v>12</v>
      </c>
      <c r="E227" s="259"/>
      <c r="F227" s="255">
        <v>303120</v>
      </c>
      <c r="G227" s="256"/>
    </row>
    <row r="228" spans="1:7" ht="18.75" x14ac:dyDescent="0.3">
      <c r="A228" s="257" t="s">
        <v>278</v>
      </c>
      <c r="B228" s="257"/>
      <c r="C228" s="257"/>
      <c r="D228" s="258">
        <v>7</v>
      </c>
      <c r="E228" s="259"/>
      <c r="F228" s="255">
        <v>116930.88</v>
      </c>
      <c r="G228" s="256"/>
    </row>
    <row r="229" spans="1:7" ht="18.75" x14ac:dyDescent="0.3">
      <c r="A229" s="257" t="s">
        <v>280</v>
      </c>
      <c r="B229" s="257"/>
      <c r="C229" s="257"/>
      <c r="D229" s="258">
        <v>12</v>
      </c>
      <c r="E229" s="259"/>
      <c r="F229" s="255">
        <v>6477.68</v>
      </c>
      <c r="G229" s="256"/>
    </row>
    <row r="230" spans="1:7" ht="18.75" x14ac:dyDescent="0.3">
      <c r="A230" s="257" t="s">
        <v>282</v>
      </c>
      <c r="B230" s="257"/>
      <c r="C230" s="257"/>
      <c r="D230" s="258">
        <v>12</v>
      </c>
      <c r="E230" s="259"/>
      <c r="F230" s="255">
        <f>180000</f>
        <v>180000</v>
      </c>
      <c r="G230" s="256"/>
    </row>
    <row r="231" spans="1:7" ht="33.75" customHeight="1" x14ac:dyDescent="0.3">
      <c r="A231" s="257" t="s">
        <v>283</v>
      </c>
      <c r="B231" s="257"/>
      <c r="C231" s="257"/>
      <c r="D231" s="258">
        <v>12</v>
      </c>
      <c r="E231" s="259"/>
      <c r="F231" s="255">
        <v>278400</v>
      </c>
      <c r="G231" s="256"/>
    </row>
    <row r="232" spans="1:7" ht="18.75" x14ac:dyDescent="0.3">
      <c r="A232" s="257" t="s">
        <v>284</v>
      </c>
      <c r="B232" s="257"/>
      <c r="C232" s="257"/>
      <c r="D232" s="258">
        <v>12</v>
      </c>
      <c r="E232" s="259"/>
      <c r="F232" s="255">
        <v>7200</v>
      </c>
      <c r="G232" s="256"/>
    </row>
    <row r="233" spans="1:7" ht="18.75" x14ac:dyDescent="0.3">
      <c r="A233" s="257" t="s">
        <v>136</v>
      </c>
      <c r="B233" s="257"/>
      <c r="C233" s="257"/>
      <c r="D233" s="258">
        <v>2</v>
      </c>
      <c r="E233" s="259"/>
      <c r="F233" s="255">
        <v>120000</v>
      </c>
      <c r="G233" s="256"/>
    </row>
    <row r="234" spans="1:7" ht="35.25" customHeight="1" x14ac:dyDescent="0.3">
      <c r="A234" s="257" t="s">
        <v>285</v>
      </c>
      <c r="B234" s="257"/>
      <c r="C234" s="257"/>
      <c r="D234" s="258">
        <v>12</v>
      </c>
      <c r="E234" s="259"/>
      <c r="F234" s="255">
        <v>9950</v>
      </c>
      <c r="G234" s="256"/>
    </row>
    <row r="235" spans="1:7" ht="18.75" x14ac:dyDescent="0.3">
      <c r="A235" s="257" t="s">
        <v>386</v>
      </c>
      <c r="B235" s="257"/>
      <c r="C235" s="257"/>
      <c r="D235" s="258">
        <v>12</v>
      </c>
      <c r="E235" s="259"/>
      <c r="F235" s="255">
        <v>103440</v>
      </c>
      <c r="G235" s="256"/>
    </row>
    <row r="236" spans="1:7" ht="18.75" x14ac:dyDescent="0.3">
      <c r="A236" s="257" t="s">
        <v>286</v>
      </c>
      <c r="B236" s="257"/>
      <c r="C236" s="257"/>
      <c r="D236" s="258">
        <v>12</v>
      </c>
      <c r="E236" s="259"/>
      <c r="F236" s="255">
        <v>3262500</v>
      </c>
      <c r="G236" s="256"/>
    </row>
    <row r="237" spans="1:7" ht="18.75" x14ac:dyDescent="0.3">
      <c r="A237" s="257" t="s">
        <v>287</v>
      </c>
      <c r="B237" s="257"/>
      <c r="C237" s="257"/>
      <c r="D237" s="258">
        <v>12</v>
      </c>
      <c r="E237" s="259"/>
      <c r="F237" s="255">
        <v>1800000</v>
      </c>
      <c r="G237" s="256"/>
    </row>
    <row r="238" spans="1:7" ht="18.75" x14ac:dyDescent="0.3">
      <c r="A238" s="257" t="s">
        <v>349</v>
      </c>
      <c r="B238" s="257"/>
      <c r="C238" s="257"/>
      <c r="D238" s="258">
        <v>12</v>
      </c>
      <c r="E238" s="259"/>
      <c r="F238" s="255">
        <v>10057999</v>
      </c>
      <c r="G238" s="256"/>
    </row>
    <row r="239" spans="1:7" ht="18.75" x14ac:dyDescent="0.3">
      <c r="A239" s="257" t="s">
        <v>350</v>
      </c>
      <c r="B239" s="257"/>
      <c r="C239" s="257"/>
      <c r="D239" s="258">
        <v>12</v>
      </c>
      <c r="E239" s="259"/>
      <c r="F239" s="255">
        <v>170000</v>
      </c>
      <c r="G239" s="256"/>
    </row>
    <row r="240" spans="1:7" ht="38.25" customHeight="1" x14ac:dyDescent="0.3">
      <c r="A240" s="257" t="s">
        <v>479</v>
      </c>
      <c r="B240" s="257"/>
      <c r="C240" s="257"/>
      <c r="D240" s="258">
        <v>12</v>
      </c>
      <c r="E240" s="259"/>
      <c r="F240" s="255">
        <v>598700</v>
      </c>
      <c r="G240" s="256"/>
    </row>
    <row r="241" spans="1:7" ht="38.25" customHeight="1" x14ac:dyDescent="0.3">
      <c r="A241" s="257" t="s">
        <v>481</v>
      </c>
      <c r="B241" s="257"/>
      <c r="C241" s="257"/>
      <c r="D241" s="258">
        <v>12</v>
      </c>
      <c r="E241" s="259"/>
      <c r="F241" s="255">
        <v>432000</v>
      </c>
      <c r="G241" s="256"/>
    </row>
    <row r="242" spans="1:7" ht="38.25" customHeight="1" x14ac:dyDescent="0.3">
      <c r="A242" s="257" t="s">
        <v>483</v>
      </c>
      <c r="B242" s="257"/>
      <c r="C242" s="257"/>
      <c r="D242" s="258">
        <v>12</v>
      </c>
      <c r="E242" s="259"/>
      <c r="F242" s="255">
        <v>260000</v>
      </c>
      <c r="G242" s="256"/>
    </row>
    <row r="243" spans="1:7" ht="38.25" customHeight="1" x14ac:dyDescent="0.3">
      <c r="A243" s="257" t="s">
        <v>484</v>
      </c>
      <c r="B243" s="257"/>
      <c r="C243" s="257"/>
      <c r="D243" s="258">
        <v>1</v>
      </c>
      <c r="E243" s="259"/>
      <c r="F243" s="255">
        <v>1320000</v>
      </c>
      <c r="G243" s="256"/>
    </row>
    <row r="244" spans="1:7" ht="18.75" x14ac:dyDescent="0.3">
      <c r="A244" s="257" t="s">
        <v>288</v>
      </c>
      <c r="B244" s="257"/>
      <c r="C244" s="257"/>
      <c r="D244" s="258">
        <v>12</v>
      </c>
      <c r="E244" s="259"/>
      <c r="F244" s="255">
        <v>2000</v>
      </c>
      <c r="G244" s="256"/>
    </row>
    <row r="245" spans="1:7" ht="18.75" x14ac:dyDescent="0.3">
      <c r="A245" s="257" t="s">
        <v>289</v>
      </c>
      <c r="B245" s="257"/>
      <c r="C245" s="257"/>
      <c r="D245" s="258">
        <v>5</v>
      </c>
      <c r="E245" s="259"/>
      <c r="F245" s="255">
        <v>315196.99</v>
      </c>
      <c r="G245" s="256"/>
    </row>
    <row r="246" spans="1:7" ht="18.75" x14ac:dyDescent="0.3">
      <c r="A246" s="257" t="s">
        <v>385</v>
      </c>
      <c r="B246" s="257"/>
      <c r="C246" s="257"/>
      <c r="D246" s="258"/>
      <c r="E246" s="259"/>
      <c r="F246" s="255"/>
      <c r="G246" s="256"/>
    </row>
    <row r="247" spans="1:7" ht="18.75" x14ac:dyDescent="0.3">
      <c r="A247" s="248" t="s">
        <v>401</v>
      </c>
      <c r="B247" s="260"/>
      <c r="C247" s="249"/>
      <c r="D247" s="258">
        <v>12</v>
      </c>
      <c r="E247" s="259"/>
      <c r="F247" s="255">
        <v>576000</v>
      </c>
      <c r="G247" s="256"/>
    </row>
    <row r="248" spans="1:7" ht="51.75" customHeight="1" x14ac:dyDescent="0.3">
      <c r="A248" s="248" t="s">
        <v>402</v>
      </c>
      <c r="B248" s="260"/>
      <c r="C248" s="249"/>
      <c r="D248" s="258">
        <v>12</v>
      </c>
      <c r="E248" s="259"/>
      <c r="F248" s="255">
        <f>310000+450000</f>
        <v>760000</v>
      </c>
      <c r="G248" s="256"/>
    </row>
    <row r="249" spans="1:7" ht="37.5" customHeight="1" x14ac:dyDescent="0.3">
      <c r="A249" s="248" t="s">
        <v>403</v>
      </c>
      <c r="B249" s="260"/>
      <c r="C249" s="249"/>
      <c r="D249" s="258">
        <v>12</v>
      </c>
      <c r="E249" s="259"/>
      <c r="F249" s="255">
        <v>209200</v>
      </c>
      <c r="G249" s="256"/>
    </row>
    <row r="250" spans="1:7" ht="36.75" customHeight="1" x14ac:dyDescent="0.3">
      <c r="A250" s="248" t="s">
        <v>406</v>
      </c>
      <c r="B250" s="260"/>
      <c r="C250" s="249"/>
      <c r="D250" s="258">
        <v>12</v>
      </c>
      <c r="E250" s="259"/>
      <c r="F250" s="255">
        <v>566360</v>
      </c>
      <c r="G250" s="256"/>
    </row>
    <row r="251" spans="1:7" ht="18.75" x14ac:dyDescent="0.3">
      <c r="A251" s="248" t="s">
        <v>480</v>
      </c>
      <c r="B251" s="260"/>
      <c r="C251" s="249"/>
      <c r="D251" s="258">
        <v>12</v>
      </c>
      <c r="E251" s="259"/>
      <c r="F251" s="255">
        <v>228000</v>
      </c>
      <c r="G251" s="256"/>
    </row>
    <row r="252" spans="1:7" ht="39" customHeight="1" x14ac:dyDescent="0.3">
      <c r="A252" s="248" t="s">
        <v>481</v>
      </c>
      <c r="B252" s="260"/>
      <c r="C252" s="249"/>
      <c r="D252" s="258">
        <v>12</v>
      </c>
      <c r="E252" s="259"/>
      <c r="F252" s="255">
        <v>150000</v>
      </c>
      <c r="G252" s="256"/>
    </row>
    <row r="253" spans="1:7" ht="18.75" x14ac:dyDescent="0.3">
      <c r="A253" s="248" t="s">
        <v>434</v>
      </c>
      <c r="B253" s="260"/>
      <c r="C253" s="249"/>
      <c r="D253" s="258">
        <v>12</v>
      </c>
      <c r="E253" s="259"/>
      <c r="F253" s="255">
        <v>35000</v>
      </c>
      <c r="G253" s="256"/>
    </row>
    <row r="254" spans="1:7" ht="18.75" x14ac:dyDescent="0.3">
      <c r="A254" s="248" t="s">
        <v>412</v>
      </c>
      <c r="B254" s="260"/>
      <c r="C254" s="249"/>
      <c r="D254" s="258">
        <v>1</v>
      </c>
      <c r="E254" s="259"/>
      <c r="F254" s="255">
        <v>400000</v>
      </c>
      <c r="G254" s="256"/>
    </row>
    <row r="255" spans="1:7" ht="38.25" customHeight="1" x14ac:dyDescent="0.3">
      <c r="A255" s="248" t="s">
        <v>435</v>
      </c>
      <c r="B255" s="260"/>
      <c r="C255" s="249"/>
      <c r="D255" s="258">
        <v>12</v>
      </c>
      <c r="E255" s="259"/>
      <c r="F255" s="255">
        <v>854700</v>
      </c>
      <c r="G255" s="256"/>
    </row>
    <row r="256" spans="1:7" ht="18.75" x14ac:dyDescent="0.3">
      <c r="A256" s="248" t="s">
        <v>436</v>
      </c>
      <c r="B256" s="260"/>
      <c r="C256" s="249"/>
      <c r="D256" s="258">
        <v>12</v>
      </c>
      <c r="E256" s="259"/>
      <c r="F256" s="255">
        <v>398080</v>
      </c>
      <c r="G256" s="256"/>
    </row>
    <row r="257" spans="1:7" ht="18.75" x14ac:dyDescent="0.3">
      <c r="A257" s="248" t="s">
        <v>482</v>
      </c>
      <c r="B257" s="260"/>
      <c r="C257" s="249"/>
      <c r="D257" s="258">
        <v>12</v>
      </c>
      <c r="E257" s="259"/>
      <c r="F257" s="255">
        <v>590000</v>
      </c>
      <c r="G257" s="256"/>
    </row>
    <row r="258" spans="1:7" ht="18.75" x14ac:dyDescent="0.3">
      <c r="A258" s="248" t="s">
        <v>146</v>
      </c>
      <c r="B258" s="260"/>
      <c r="C258" s="249"/>
      <c r="D258" s="258"/>
      <c r="E258" s="259"/>
      <c r="F258" s="252">
        <f>'гос.зад на 2022 год '!D52</f>
        <v>25386254.550000001</v>
      </c>
      <c r="G258" s="254"/>
    </row>
    <row r="259" spans="1:7" ht="18.75" x14ac:dyDescent="0.25">
      <c r="A259" s="29"/>
    </row>
    <row r="260" spans="1:7" ht="18.75" x14ac:dyDescent="0.25">
      <c r="A260" s="269" t="s">
        <v>221</v>
      </c>
      <c r="B260" s="269"/>
      <c r="C260" s="269"/>
      <c r="D260" s="269"/>
      <c r="E260" s="269"/>
      <c r="F260" s="269"/>
      <c r="G260" s="269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18.75" x14ac:dyDescent="0.25">
      <c r="A264" s="270" t="s">
        <v>86</v>
      </c>
      <c r="B264" s="270"/>
      <c r="C264" s="270"/>
      <c r="D264" s="270" t="s">
        <v>137</v>
      </c>
      <c r="E264" s="270"/>
      <c r="F264" s="270" t="s">
        <v>138</v>
      </c>
      <c r="G264" s="270"/>
    </row>
    <row r="265" spans="1:7" ht="18.75" x14ac:dyDescent="0.3">
      <c r="A265" s="250">
        <v>1</v>
      </c>
      <c r="B265" s="277"/>
      <c r="C265" s="251"/>
      <c r="D265" s="258">
        <v>2</v>
      </c>
      <c r="E265" s="259"/>
      <c r="F265" s="258">
        <v>3</v>
      </c>
      <c r="G265" s="259"/>
    </row>
    <row r="266" spans="1:7" ht="18.75" x14ac:dyDescent="0.3">
      <c r="A266" s="248" t="s">
        <v>139</v>
      </c>
      <c r="B266" s="260"/>
      <c r="C266" s="249"/>
      <c r="D266" s="261">
        <v>1</v>
      </c>
      <c r="E266" s="262"/>
      <c r="F266" s="255">
        <f>195000+30000+2900+4382.79</f>
        <v>232282.79</v>
      </c>
      <c r="G266" s="256"/>
    </row>
    <row r="267" spans="1:7" ht="18.75" x14ac:dyDescent="0.3">
      <c r="A267" s="248" t="s">
        <v>140</v>
      </c>
      <c r="B267" s="260"/>
      <c r="C267" s="249"/>
      <c r="D267" s="261">
        <v>3</v>
      </c>
      <c r="E267" s="262"/>
      <c r="F267" s="255">
        <v>7940166</v>
      </c>
      <c r="G267" s="256"/>
    </row>
    <row r="268" spans="1:7" ht="40.5" customHeight="1" x14ac:dyDescent="0.3">
      <c r="A268" s="248" t="s">
        <v>457</v>
      </c>
      <c r="B268" s="260"/>
      <c r="C268" s="249"/>
      <c r="D268" s="261">
        <v>1</v>
      </c>
      <c r="E268" s="262"/>
      <c r="F268" s="255">
        <v>100000</v>
      </c>
      <c r="G268" s="256"/>
    </row>
    <row r="269" spans="1:7" ht="18.75" x14ac:dyDescent="0.3">
      <c r="A269" s="248" t="s">
        <v>458</v>
      </c>
      <c r="B269" s="260"/>
      <c r="C269" s="249"/>
      <c r="D269" s="261">
        <v>2</v>
      </c>
      <c r="E269" s="262"/>
      <c r="F269" s="255">
        <v>5800</v>
      </c>
      <c r="G269" s="256"/>
    </row>
    <row r="270" spans="1:7" ht="18.75" x14ac:dyDescent="0.3">
      <c r="A270" s="248" t="s">
        <v>459</v>
      </c>
      <c r="B270" s="260"/>
      <c r="C270" s="249"/>
      <c r="D270" s="261">
        <v>1</v>
      </c>
      <c r="E270" s="262"/>
      <c r="F270" s="255">
        <v>33816</v>
      </c>
      <c r="G270" s="256"/>
    </row>
    <row r="271" spans="1:7" ht="18.75" x14ac:dyDescent="0.3">
      <c r="A271" s="248" t="s">
        <v>462</v>
      </c>
      <c r="B271" s="260"/>
      <c r="C271" s="249"/>
      <c r="D271" s="261">
        <v>1</v>
      </c>
      <c r="E271" s="262"/>
      <c r="F271" s="255">
        <v>50000</v>
      </c>
      <c r="G271" s="256"/>
    </row>
    <row r="272" spans="1:7" ht="18.75" x14ac:dyDescent="0.3">
      <c r="A272" s="248" t="s">
        <v>463</v>
      </c>
      <c r="B272" s="260"/>
      <c r="C272" s="249"/>
      <c r="D272" s="261">
        <v>1</v>
      </c>
      <c r="E272" s="262"/>
      <c r="F272" s="255">
        <v>7200</v>
      </c>
      <c r="G272" s="256"/>
    </row>
    <row r="273" spans="1:7" ht="18.75" x14ac:dyDescent="0.3">
      <c r="A273" s="248" t="s">
        <v>464</v>
      </c>
      <c r="B273" s="260"/>
      <c r="C273" s="249"/>
      <c r="D273" s="261">
        <v>1</v>
      </c>
      <c r="E273" s="262"/>
      <c r="F273" s="255">
        <v>40000</v>
      </c>
      <c r="G273" s="256"/>
    </row>
    <row r="274" spans="1:7" ht="18.75" x14ac:dyDescent="0.3">
      <c r="A274" s="248" t="s">
        <v>461</v>
      </c>
      <c r="B274" s="260"/>
      <c r="C274" s="249"/>
      <c r="D274" s="261">
        <v>3</v>
      </c>
      <c r="E274" s="262"/>
      <c r="F274" s="255">
        <v>212890</v>
      </c>
      <c r="G274" s="256"/>
    </row>
    <row r="275" spans="1:7" ht="18.75" x14ac:dyDescent="0.3">
      <c r="A275" s="248" t="s">
        <v>353</v>
      </c>
      <c r="B275" s="260"/>
      <c r="C275" s="249"/>
      <c r="D275" s="261">
        <v>1</v>
      </c>
      <c r="E275" s="262"/>
      <c r="F275" s="255">
        <v>288000</v>
      </c>
      <c r="G275" s="256"/>
    </row>
    <row r="276" spans="1:7" ht="18.75" x14ac:dyDescent="0.3">
      <c r="A276" s="248" t="s">
        <v>390</v>
      </c>
      <c r="B276" s="260"/>
      <c r="C276" s="249"/>
      <c r="D276" s="261">
        <v>2</v>
      </c>
      <c r="E276" s="262"/>
      <c r="F276" s="255">
        <v>161990</v>
      </c>
      <c r="G276" s="256"/>
    </row>
    <row r="277" spans="1:7" ht="18.75" x14ac:dyDescent="0.3">
      <c r="A277" s="248" t="s">
        <v>460</v>
      </c>
      <c r="B277" s="260"/>
      <c r="C277" s="249"/>
      <c r="D277" s="261">
        <v>1</v>
      </c>
      <c r="E277" s="262"/>
      <c r="F277" s="255">
        <v>25000</v>
      </c>
      <c r="G277" s="256"/>
    </row>
    <row r="278" spans="1:7" ht="35.25" customHeight="1" x14ac:dyDescent="0.3">
      <c r="A278" s="248" t="s">
        <v>456</v>
      </c>
      <c r="B278" s="260"/>
      <c r="C278" s="249"/>
      <c r="D278" s="261">
        <v>2</v>
      </c>
      <c r="E278" s="262"/>
      <c r="F278" s="255">
        <f>30000+2900</f>
        <v>32900</v>
      </c>
      <c r="G278" s="256"/>
    </row>
    <row r="279" spans="1:7" ht="18.75" x14ac:dyDescent="0.3">
      <c r="A279" s="248" t="s">
        <v>146</v>
      </c>
      <c r="B279" s="260"/>
      <c r="C279" s="249"/>
      <c r="D279" s="274"/>
      <c r="E279" s="275"/>
      <c r="F279" s="252">
        <f>'гос.зад на 2022 год '!D58</f>
        <v>9130044.7899999991</v>
      </c>
      <c r="G279" s="254"/>
    </row>
    <row r="280" spans="1:7" ht="18.75" x14ac:dyDescent="0.25">
      <c r="A280" s="8"/>
    </row>
    <row r="281" spans="1:7" ht="18.75" x14ac:dyDescent="0.25">
      <c r="A281" s="269" t="s">
        <v>222</v>
      </c>
      <c r="B281" s="269"/>
      <c r="C281" s="269"/>
      <c r="D281" s="269"/>
      <c r="E281" s="269"/>
      <c r="F281" s="269"/>
      <c r="G281" s="269"/>
    </row>
    <row r="282" spans="1:7" ht="18.75" x14ac:dyDescent="0.25">
      <c r="A282" s="9"/>
    </row>
    <row r="283" spans="1:7" ht="18.75" x14ac:dyDescent="0.3">
      <c r="A283" s="9" t="s">
        <v>145</v>
      </c>
      <c r="B283" s="10">
        <v>244</v>
      </c>
    </row>
    <row r="284" spans="1:7" ht="18.75" x14ac:dyDescent="0.25">
      <c r="A284" s="8"/>
    </row>
    <row r="285" spans="1:7" ht="18.75" x14ac:dyDescent="0.25">
      <c r="A285" s="250" t="s">
        <v>86</v>
      </c>
      <c r="B285" s="251"/>
      <c r="C285" s="250" t="s">
        <v>137</v>
      </c>
      <c r="D285" s="251"/>
      <c r="E285" s="250" t="s">
        <v>138</v>
      </c>
      <c r="F285" s="277"/>
      <c r="G285" s="251"/>
    </row>
    <row r="286" spans="1:7" ht="18.75" x14ac:dyDescent="0.3">
      <c r="A286" s="250">
        <v>1</v>
      </c>
      <c r="B286" s="251"/>
      <c r="C286" s="250">
        <v>2</v>
      </c>
      <c r="D286" s="251"/>
      <c r="E286" s="258">
        <v>3</v>
      </c>
      <c r="F286" s="276"/>
      <c r="G286" s="259"/>
    </row>
    <row r="287" spans="1:7" ht="18.75" x14ac:dyDescent="0.3">
      <c r="A287" s="248" t="s">
        <v>25</v>
      </c>
      <c r="B287" s="249"/>
      <c r="C287" s="250">
        <v>2</v>
      </c>
      <c r="D287" s="251"/>
      <c r="E287" s="252">
        <f>'гос.зад на 2022 год '!D59</f>
        <v>5967.62</v>
      </c>
      <c r="F287" s="253"/>
      <c r="G287" s="254"/>
    </row>
    <row r="288" spans="1:7" ht="18.75" x14ac:dyDescent="0.3">
      <c r="A288" s="28"/>
      <c r="B288" s="28"/>
      <c r="C288" s="19"/>
      <c r="D288" s="19"/>
      <c r="E288" s="198"/>
      <c r="F288" s="198"/>
      <c r="G288" s="198"/>
    </row>
    <row r="289" spans="1:7" ht="28.15" customHeight="1" x14ac:dyDescent="0.25">
      <c r="A289" s="269" t="s">
        <v>250</v>
      </c>
      <c r="B289" s="269"/>
      <c r="C289" s="269"/>
      <c r="D289" s="269"/>
      <c r="E289" s="269"/>
      <c r="F289" s="269"/>
      <c r="G289" s="269"/>
    </row>
    <row r="290" spans="1:7" ht="18.75" x14ac:dyDescent="0.25">
      <c r="A290" s="9"/>
    </row>
    <row r="291" spans="1:7" ht="18.75" x14ac:dyDescent="0.3">
      <c r="A291" s="9" t="s">
        <v>145</v>
      </c>
      <c r="B291" s="10">
        <v>244</v>
      </c>
    </row>
    <row r="292" spans="1:7" ht="18.75" x14ac:dyDescent="0.25">
      <c r="A292" s="8"/>
    </row>
    <row r="293" spans="1:7" ht="37.9" customHeight="1" x14ac:dyDescent="0.25">
      <c r="A293" s="197" t="s">
        <v>86</v>
      </c>
      <c r="B293" s="270" t="s">
        <v>142</v>
      </c>
      <c r="C293" s="270"/>
      <c r="D293" s="270" t="s">
        <v>143</v>
      </c>
      <c r="E293" s="270"/>
      <c r="F293" s="270" t="s">
        <v>150</v>
      </c>
      <c r="G293" s="270"/>
    </row>
    <row r="294" spans="1:7" ht="18.75" x14ac:dyDescent="0.25">
      <c r="A294" s="197">
        <v>1</v>
      </c>
      <c r="B294" s="250">
        <v>2</v>
      </c>
      <c r="C294" s="251"/>
      <c r="D294" s="250">
        <v>3</v>
      </c>
      <c r="E294" s="251"/>
      <c r="F294" s="250">
        <v>4</v>
      </c>
      <c r="G294" s="251"/>
    </row>
    <row r="295" spans="1:7" ht="18.75" x14ac:dyDescent="0.25">
      <c r="A295" s="13"/>
      <c r="B295" s="250"/>
      <c r="C295" s="251"/>
      <c r="D295" s="244"/>
      <c r="E295" s="245"/>
      <c r="F295" s="244"/>
      <c r="G295" s="245"/>
    </row>
    <row r="296" spans="1:7" ht="18.75" x14ac:dyDescent="0.25">
      <c r="A296" s="13"/>
      <c r="B296" s="250"/>
      <c r="C296" s="251"/>
      <c r="D296" s="244"/>
      <c r="E296" s="245"/>
      <c r="F296" s="244"/>
      <c r="G296" s="245"/>
    </row>
    <row r="297" spans="1:7" ht="18.75" x14ac:dyDescent="0.25">
      <c r="A297" s="13"/>
      <c r="B297" s="250"/>
      <c r="C297" s="251"/>
      <c r="D297" s="244"/>
      <c r="E297" s="245"/>
      <c r="F297" s="244"/>
      <c r="G297" s="245"/>
    </row>
    <row r="298" spans="1:7" ht="18.75" x14ac:dyDescent="0.25">
      <c r="A298" s="13" t="s">
        <v>146</v>
      </c>
      <c r="B298" s="250"/>
      <c r="C298" s="251"/>
      <c r="D298" s="250"/>
      <c r="E298" s="251"/>
      <c r="F298" s="244">
        <f>'гос.зад на 2022 год '!D91</f>
        <v>0</v>
      </c>
      <c r="G298" s="245"/>
    </row>
    <row r="299" spans="1:7" x14ac:dyDescent="0.25">
      <c r="A299" s="23"/>
    </row>
    <row r="300" spans="1:7" ht="18.75" x14ac:dyDescent="0.25">
      <c r="A300" s="271" t="s">
        <v>251</v>
      </c>
      <c r="B300" s="271"/>
      <c r="C300" s="271"/>
      <c r="D300" s="271"/>
      <c r="E300" s="271"/>
      <c r="F300" s="271"/>
      <c r="G300" s="271"/>
    </row>
    <row r="301" spans="1:7" ht="18.75" x14ac:dyDescent="0.25">
      <c r="A301" s="9"/>
    </row>
    <row r="302" spans="1:7" ht="18.75" x14ac:dyDescent="0.3">
      <c r="A302" s="9" t="s">
        <v>145</v>
      </c>
      <c r="B302" s="10">
        <v>244</v>
      </c>
    </row>
    <row r="303" spans="1:7" ht="18.75" x14ac:dyDescent="0.25">
      <c r="A303" s="8"/>
    </row>
    <row r="304" spans="1:7" ht="18.75" x14ac:dyDescent="0.25">
      <c r="A304" s="106" t="s">
        <v>86</v>
      </c>
      <c r="B304" s="270" t="s">
        <v>142</v>
      </c>
      <c r="C304" s="270"/>
      <c r="D304" s="270" t="s">
        <v>143</v>
      </c>
      <c r="E304" s="270"/>
      <c r="F304" s="270" t="s">
        <v>150</v>
      </c>
      <c r="G304" s="270"/>
    </row>
    <row r="305" spans="1:7" ht="18.75" x14ac:dyDescent="0.25">
      <c r="A305" s="106">
        <v>1</v>
      </c>
      <c r="B305" s="250">
        <v>2</v>
      </c>
      <c r="C305" s="251"/>
      <c r="D305" s="250">
        <v>3</v>
      </c>
      <c r="E305" s="251"/>
      <c r="F305" s="250">
        <v>4</v>
      </c>
      <c r="G305" s="251"/>
    </row>
    <row r="306" spans="1:7" ht="18.75" x14ac:dyDescent="0.25">
      <c r="A306" s="13"/>
      <c r="B306" s="246"/>
      <c r="C306" s="247"/>
      <c r="D306" s="244"/>
      <c r="E306" s="245"/>
      <c r="F306" s="244"/>
      <c r="G306" s="245"/>
    </row>
    <row r="307" spans="1:7" ht="18.75" x14ac:dyDescent="0.25">
      <c r="A307" s="13" t="s">
        <v>237</v>
      </c>
      <c r="B307" s="246"/>
      <c r="C307" s="247"/>
      <c r="D307" s="244"/>
      <c r="E307" s="245"/>
      <c r="F307" s="244">
        <f>'гос.зад на 2022 год '!D94</f>
        <v>0</v>
      </c>
      <c r="G307" s="245"/>
    </row>
    <row r="308" spans="1:7" ht="37.5" x14ac:dyDescent="0.25">
      <c r="A308" s="13" t="s">
        <v>455</v>
      </c>
      <c r="B308" s="246"/>
      <c r="C308" s="247"/>
      <c r="D308" s="244"/>
      <c r="E308" s="245"/>
      <c r="F308" s="244"/>
      <c r="G308" s="245"/>
    </row>
    <row r="309" spans="1:7" ht="18.75" x14ac:dyDescent="0.25">
      <c r="A309" s="13" t="s">
        <v>238</v>
      </c>
      <c r="B309" s="246"/>
      <c r="C309" s="247"/>
      <c r="D309" s="244"/>
      <c r="E309" s="245"/>
      <c r="F309" s="244">
        <f>'гос.зад на 2022 год '!D95</f>
        <v>0</v>
      </c>
      <c r="G309" s="245"/>
    </row>
    <row r="310" spans="1:7" ht="18.75" x14ac:dyDescent="0.25">
      <c r="A310" s="13"/>
      <c r="B310" s="246"/>
      <c r="C310" s="247"/>
      <c r="D310" s="244"/>
      <c r="E310" s="245"/>
      <c r="F310" s="244"/>
      <c r="G310" s="245"/>
    </row>
    <row r="311" spans="1:7" ht="18.75" x14ac:dyDescent="0.25">
      <c r="A311" s="13" t="s">
        <v>239</v>
      </c>
      <c r="B311" s="246"/>
      <c r="C311" s="247"/>
      <c r="D311" s="244"/>
      <c r="E311" s="245"/>
      <c r="F311" s="244">
        <f>'гос.зад на 2022 год '!D96</f>
        <v>334394.61</v>
      </c>
      <c r="G311" s="245"/>
    </row>
    <row r="312" spans="1:7" ht="18.75" x14ac:dyDescent="0.25">
      <c r="A312" s="13" t="s">
        <v>296</v>
      </c>
      <c r="B312" s="242">
        <v>6430.67</v>
      </c>
      <c r="C312" s="243"/>
      <c r="D312" s="244">
        <v>52</v>
      </c>
      <c r="E312" s="245"/>
      <c r="F312" s="244">
        <v>334394.61</v>
      </c>
      <c r="G312" s="245"/>
    </row>
    <row r="313" spans="1:7" ht="18.75" x14ac:dyDescent="0.25">
      <c r="A313" s="13" t="s">
        <v>240</v>
      </c>
      <c r="B313" s="246"/>
      <c r="C313" s="247"/>
      <c r="D313" s="244"/>
      <c r="E313" s="245"/>
      <c r="F313" s="244">
        <f>'гос.зад на 2022 год '!D97</f>
        <v>224794.3</v>
      </c>
      <c r="G313" s="245"/>
    </row>
    <row r="314" spans="1:7" ht="18.75" x14ac:dyDescent="0.25">
      <c r="A314" s="13" t="s">
        <v>297</v>
      </c>
      <c r="B314" s="246">
        <v>2000</v>
      </c>
      <c r="C314" s="247"/>
      <c r="D314" s="244">
        <v>112.39</v>
      </c>
      <c r="E314" s="245"/>
      <c r="F314" s="244">
        <v>224794.3</v>
      </c>
      <c r="G314" s="245"/>
    </row>
    <row r="315" spans="1:7" ht="18.75" x14ac:dyDescent="0.25">
      <c r="A315" s="13" t="s">
        <v>241</v>
      </c>
      <c r="B315" s="246"/>
      <c r="C315" s="247"/>
      <c r="D315" s="244"/>
      <c r="E315" s="245"/>
      <c r="F315" s="244">
        <f>'гос.зад на 2022 год '!D98</f>
        <v>844795</v>
      </c>
      <c r="G315" s="245"/>
    </row>
    <row r="316" spans="1:7" ht="18.75" x14ac:dyDescent="0.25">
      <c r="A316" s="13" t="s">
        <v>384</v>
      </c>
      <c r="B316" s="246"/>
      <c r="C316" s="247"/>
      <c r="D316" s="244"/>
      <c r="E316" s="245"/>
      <c r="F316" s="244"/>
      <c r="G316" s="245"/>
    </row>
    <row r="317" spans="1:7" ht="18.75" x14ac:dyDescent="0.25">
      <c r="A317" s="13" t="s">
        <v>298</v>
      </c>
      <c r="B317" s="246">
        <v>93</v>
      </c>
      <c r="C317" s="247"/>
      <c r="D317" s="244">
        <v>3815</v>
      </c>
      <c r="E317" s="245"/>
      <c r="F317" s="244">
        <v>354795</v>
      </c>
      <c r="G317" s="245"/>
    </row>
    <row r="318" spans="1:7" ht="18.75" x14ac:dyDescent="0.25">
      <c r="A318" s="13" t="s">
        <v>299</v>
      </c>
      <c r="B318" s="246">
        <v>131</v>
      </c>
      <c r="C318" s="247"/>
      <c r="D318" s="244">
        <v>3740.46</v>
      </c>
      <c r="E318" s="245"/>
      <c r="F318" s="244">
        <v>490000</v>
      </c>
      <c r="G318" s="245"/>
    </row>
    <row r="319" spans="1:7" ht="18.75" x14ac:dyDescent="0.25">
      <c r="A319" s="13" t="s">
        <v>242</v>
      </c>
      <c r="B319" s="246"/>
      <c r="C319" s="247"/>
      <c r="D319" s="244"/>
      <c r="E319" s="245"/>
      <c r="F319" s="244">
        <f>'гос.зад на 2022 год '!D99</f>
        <v>8687119.5299999993</v>
      </c>
      <c r="G319" s="245"/>
    </row>
    <row r="320" spans="1:7" ht="18.75" x14ac:dyDescent="0.25">
      <c r="A320" s="13" t="s">
        <v>384</v>
      </c>
      <c r="B320" s="246"/>
      <c r="C320" s="247"/>
      <c r="D320" s="244"/>
      <c r="E320" s="245"/>
      <c r="F320" s="244"/>
      <c r="G320" s="245"/>
    </row>
    <row r="321" spans="1:7" ht="18.75" x14ac:dyDescent="0.25">
      <c r="A321" s="13" t="s">
        <v>301</v>
      </c>
      <c r="B321" s="246">
        <v>1000</v>
      </c>
      <c r="C321" s="247"/>
      <c r="D321" s="244">
        <v>45</v>
      </c>
      <c r="E321" s="245"/>
      <c r="F321" s="244">
        <v>45000</v>
      </c>
      <c r="G321" s="245"/>
    </row>
    <row r="322" spans="1:7" ht="18.75" x14ac:dyDescent="0.25">
      <c r="A322" s="13" t="s">
        <v>302</v>
      </c>
      <c r="B322" s="246">
        <v>1999</v>
      </c>
      <c r="C322" s="247"/>
      <c r="D322" s="244">
        <v>22.9</v>
      </c>
      <c r="E322" s="245"/>
      <c r="F322" s="244">
        <v>45777.120000000003</v>
      </c>
      <c r="G322" s="245"/>
    </row>
    <row r="323" spans="1:7" ht="18.75" x14ac:dyDescent="0.25">
      <c r="A323" s="13" t="s">
        <v>421</v>
      </c>
      <c r="B323" s="246">
        <v>141</v>
      </c>
      <c r="C323" s="247"/>
      <c r="D323" s="244">
        <v>2593.62</v>
      </c>
      <c r="E323" s="245"/>
      <c r="F323" s="244">
        <f>45000+180700+140000</f>
        <v>365700</v>
      </c>
      <c r="G323" s="245"/>
    </row>
    <row r="324" spans="1:7" ht="18.75" x14ac:dyDescent="0.25">
      <c r="A324" s="13" t="s">
        <v>304</v>
      </c>
      <c r="B324" s="246">
        <v>200</v>
      </c>
      <c r="C324" s="247"/>
      <c r="D324" s="244">
        <v>1400</v>
      </c>
      <c r="E324" s="245"/>
      <c r="F324" s="244">
        <v>280000</v>
      </c>
      <c r="G324" s="245"/>
    </row>
    <row r="325" spans="1:7" ht="37.5" x14ac:dyDescent="0.25">
      <c r="A325" s="13" t="s">
        <v>305</v>
      </c>
      <c r="B325" s="246">
        <v>500</v>
      </c>
      <c r="C325" s="247"/>
      <c r="D325" s="244">
        <v>12350.16</v>
      </c>
      <c r="E325" s="245"/>
      <c r="F325" s="244">
        <v>6681946.71</v>
      </c>
      <c r="G325" s="245"/>
    </row>
    <row r="326" spans="1:7" ht="18.75" x14ac:dyDescent="0.25">
      <c r="A326" s="13" t="s">
        <v>385</v>
      </c>
      <c r="B326" s="246"/>
      <c r="C326" s="247"/>
      <c r="D326" s="244"/>
      <c r="E326" s="245"/>
      <c r="F326" s="244"/>
      <c r="G326" s="245"/>
    </row>
    <row r="327" spans="1:7" ht="18.75" x14ac:dyDescent="0.25">
      <c r="A327" s="13" t="s">
        <v>420</v>
      </c>
      <c r="B327" s="246">
        <v>1000</v>
      </c>
      <c r="C327" s="247"/>
      <c r="D327" s="244">
        <v>162.62</v>
      </c>
      <c r="E327" s="245"/>
      <c r="F327" s="244">
        <v>162620</v>
      </c>
      <c r="G327" s="245"/>
    </row>
    <row r="328" spans="1:7" ht="18.75" x14ac:dyDescent="0.25">
      <c r="A328" s="13" t="s">
        <v>421</v>
      </c>
      <c r="B328" s="246">
        <v>500</v>
      </c>
      <c r="C328" s="247"/>
      <c r="D328" s="244">
        <v>28.13</v>
      </c>
      <c r="E328" s="245"/>
      <c r="F328" s="244">
        <v>14065.7</v>
      </c>
      <c r="G328" s="245"/>
    </row>
    <row r="329" spans="1:7" ht="37.5" x14ac:dyDescent="0.25">
      <c r="A329" s="13" t="s">
        <v>422</v>
      </c>
      <c r="B329" s="246">
        <v>30</v>
      </c>
      <c r="C329" s="247"/>
      <c r="D329" s="244">
        <v>212.51</v>
      </c>
      <c r="E329" s="245"/>
      <c r="F329" s="244">
        <v>6375.3</v>
      </c>
      <c r="G329" s="245"/>
    </row>
    <row r="330" spans="1:7" ht="37.5" x14ac:dyDescent="0.25">
      <c r="A330" s="13" t="s">
        <v>423</v>
      </c>
      <c r="B330" s="246">
        <v>12</v>
      </c>
      <c r="C330" s="247"/>
      <c r="D330" s="244">
        <v>13858.18</v>
      </c>
      <c r="E330" s="245"/>
      <c r="F330" s="244">
        <v>166298.20000000001</v>
      </c>
      <c r="G330" s="245"/>
    </row>
    <row r="331" spans="1:7" ht="18.75" x14ac:dyDescent="0.25">
      <c r="A331" s="13" t="s">
        <v>424</v>
      </c>
      <c r="B331" s="246">
        <v>1000</v>
      </c>
      <c r="C331" s="247"/>
      <c r="D331" s="244">
        <v>8.31</v>
      </c>
      <c r="E331" s="245"/>
      <c r="F331" s="244">
        <v>8310</v>
      </c>
      <c r="G331" s="245"/>
    </row>
    <row r="332" spans="1:7" ht="18.75" x14ac:dyDescent="0.25">
      <c r="A332" s="13" t="s">
        <v>301</v>
      </c>
      <c r="B332" s="246">
        <v>1000</v>
      </c>
      <c r="C332" s="247"/>
      <c r="D332" s="244">
        <v>277.19</v>
      </c>
      <c r="E332" s="245"/>
      <c r="F332" s="244">
        <v>277190</v>
      </c>
      <c r="G332" s="245"/>
    </row>
    <row r="333" spans="1:7" ht="37.5" x14ac:dyDescent="0.25">
      <c r="A333" s="13" t="s">
        <v>305</v>
      </c>
      <c r="B333" s="246">
        <v>80</v>
      </c>
      <c r="C333" s="247"/>
      <c r="D333" s="244">
        <v>3926.75</v>
      </c>
      <c r="E333" s="245"/>
      <c r="F333" s="244">
        <v>314140</v>
      </c>
      <c r="G333" s="245"/>
    </row>
    <row r="334" spans="1:7" ht="18.75" x14ac:dyDescent="0.25">
      <c r="A334" s="13" t="s">
        <v>425</v>
      </c>
      <c r="B334" s="246">
        <v>70</v>
      </c>
      <c r="C334" s="247"/>
      <c r="D334" s="244">
        <v>791.95</v>
      </c>
      <c r="E334" s="245"/>
      <c r="F334" s="244">
        <v>55436.5</v>
      </c>
      <c r="G334" s="245"/>
    </row>
    <row r="335" spans="1:7" ht="18.75" x14ac:dyDescent="0.25">
      <c r="A335" s="13" t="s">
        <v>437</v>
      </c>
      <c r="B335" s="246">
        <v>2000</v>
      </c>
      <c r="C335" s="247"/>
      <c r="D335" s="244">
        <v>132.13</v>
      </c>
      <c r="E335" s="245"/>
      <c r="F335" s="244">
        <v>264260</v>
      </c>
      <c r="G335" s="245"/>
    </row>
    <row r="336" spans="1:7" ht="18.75" x14ac:dyDescent="0.25">
      <c r="A336" s="13" t="s">
        <v>371</v>
      </c>
      <c r="B336" s="246"/>
      <c r="C336" s="247"/>
      <c r="D336" s="244"/>
      <c r="E336" s="245"/>
      <c r="F336" s="244">
        <f>'гос.зад на 2022 год '!D100</f>
        <v>0</v>
      </c>
      <c r="G336" s="245"/>
    </row>
    <row r="337" spans="1:7" ht="18.75" x14ac:dyDescent="0.25">
      <c r="A337" s="13" t="s">
        <v>243</v>
      </c>
      <c r="B337" s="246"/>
      <c r="C337" s="247"/>
      <c r="D337" s="244"/>
      <c r="E337" s="245"/>
      <c r="F337" s="244">
        <f>'гос.зад на 2022 год '!D101</f>
        <v>68700</v>
      </c>
      <c r="G337" s="245"/>
    </row>
    <row r="338" spans="1:7" ht="18.75" x14ac:dyDescent="0.25">
      <c r="A338" s="13" t="s">
        <v>485</v>
      </c>
      <c r="B338" s="246">
        <v>46107</v>
      </c>
      <c r="C338" s="247"/>
      <c r="D338" s="244">
        <v>1.49</v>
      </c>
      <c r="E338" s="245"/>
      <c r="F338" s="244">
        <v>68700</v>
      </c>
      <c r="G338" s="245"/>
    </row>
    <row r="339" spans="1:7" ht="18.75" x14ac:dyDescent="0.25">
      <c r="A339" s="15"/>
      <c r="B339" s="127"/>
      <c r="C339" s="127"/>
      <c r="D339" s="82"/>
      <c r="E339" s="82"/>
      <c r="F339" s="82"/>
      <c r="G339" s="82"/>
    </row>
    <row r="340" spans="1:7" ht="18.75" x14ac:dyDescent="0.3">
      <c r="A340" s="29" t="s">
        <v>151</v>
      </c>
      <c r="B340" s="10"/>
      <c r="C340" s="219"/>
      <c r="D340" s="219"/>
      <c r="E340" s="10"/>
      <c r="F340" s="219" t="s">
        <v>465</v>
      </c>
      <c r="G340" s="219"/>
    </row>
    <row r="341" spans="1:7" ht="18.75" x14ac:dyDescent="0.3">
      <c r="A341" s="29"/>
      <c r="B341" s="10"/>
      <c r="C341" s="218" t="s">
        <v>53</v>
      </c>
      <c r="D341" s="218"/>
      <c r="E341" s="10"/>
      <c r="F341" s="218" t="s">
        <v>54</v>
      </c>
      <c r="G341" s="218"/>
    </row>
    <row r="342" spans="1:7" ht="18.75" x14ac:dyDescent="0.3">
      <c r="A342" s="29"/>
      <c r="B342" s="10"/>
      <c r="C342" s="104"/>
      <c r="D342" s="104"/>
      <c r="E342" s="10"/>
      <c r="F342" s="104"/>
      <c r="G342" s="104"/>
    </row>
    <row r="343" spans="1:7" ht="37.5" x14ac:dyDescent="0.3">
      <c r="A343" s="29" t="s">
        <v>152</v>
      </c>
      <c r="B343" s="10"/>
      <c r="C343" s="219"/>
      <c r="D343" s="219"/>
      <c r="E343" s="10"/>
      <c r="F343" s="219" t="s">
        <v>341</v>
      </c>
      <c r="G343" s="219"/>
    </row>
    <row r="344" spans="1:7" ht="18.75" x14ac:dyDescent="0.3">
      <c r="A344" s="29"/>
      <c r="B344" s="10"/>
      <c r="C344" s="218" t="s">
        <v>53</v>
      </c>
      <c r="D344" s="218"/>
      <c r="E344" s="10"/>
      <c r="F344" s="218" t="s">
        <v>54</v>
      </c>
      <c r="G344" s="218"/>
    </row>
    <row r="345" spans="1:7" ht="18.75" x14ac:dyDescent="0.3">
      <c r="A345" s="29"/>
      <c r="B345" s="10"/>
      <c r="C345" s="104"/>
      <c r="D345" s="104"/>
      <c r="E345" s="10"/>
      <c r="F345" s="104"/>
      <c r="G345" s="104"/>
    </row>
    <row r="346" spans="1:7" ht="18.75" x14ac:dyDescent="0.3">
      <c r="A346" s="29" t="s">
        <v>153</v>
      </c>
      <c r="B346" s="10"/>
      <c r="C346" s="219"/>
      <c r="D346" s="219"/>
      <c r="E346" s="10"/>
      <c r="F346" s="219" t="s">
        <v>341</v>
      </c>
      <c r="G346" s="219"/>
    </row>
    <row r="347" spans="1:7" ht="18.75" x14ac:dyDescent="0.3">
      <c r="A347" s="29"/>
      <c r="B347" s="10"/>
      <c r="C347" s="218" t="s">
        <v>53</v>
      </c>
      <c r="D347" s="218"/>
      <c r="E347" s="10"/>
      <c r="F347" s="218" t="s">
        <v>54</v>
      </c>
      <c r="G347" s="218"/>
    </row>
    <row r="348" spans="1:7" ht="18.75" x14ac:dyDescent="0.3">
      <c r="A348" s="29" t="s">
        <v>154</v>
      </c>
      <c r="B348" s="10"/>
      <c r="C348" s="10"/>
      <c r="D348" s="10"/>
      <c r="E348" s="10"/>
      <c r="F348" s="10"/>
      <c r="G348" s="10"/>
    </row>
    <row r="349" spans="1:7" ht="18.75" x14ac:dyDescent="0.3">
      <c r="A349" s="217" t="s">
        <v>44</v>
      </c>
      <c r="B349" s="217"/>
      <c r="C349" s="10"/>
      <c r="D349" s="10"/>
      <c r="E349" s="10"/>
      <c r="F349" s="10"/>
      <c r="G349" s="10"/>
    </row>
  </sheetData>
  <mergeCells count="490">
    <mergeCell ref="F297:G297"/>
    <mergeCell ref="A252:C252"/>
    <mergeCell ref="D252:E252"/>
    <mergeCell ref="F252:G252"/>
    <mergeCell ref="A241:C241"/>
    <mergeCell ref="D241:E241"/>
    <mergeCell ref="F241:G241"/>
    <mergeCell ref="A257:C257"/>
    <mergeCell ref="D257:E257"/>
    <mergeCell ref="F257:G257"/>
    <mergeCell ref="A242:C242"/>
    <mergeCell ref="D242:E242"/>
    <mergeCell ref="F242:G242"/>
    <mergeCell ref="A243:C243"/>
    <mergeCell ref="D243:E243"/>
    <mergeCell ref="F243:G243"/>
    <mergeCell ref="A256:C256"/>
    <mergeCell ref="D256:E256"/>
    <mergeCell ref="F256:G256"/>
    <mergeCell ref="A255:C255"/>
    <mergeCell ref="D255:E255"/>
    <mergeCell ref="A250:C250"/>
    <mergeCell ref="D250:E250"/>
    <mergeCell ref="F250:G250"/>
    <mergeCell ref="F269:G269"/>
    <mergeCell ref="A270:C270"/>
    <mergeCell ref="D270:E270"/>
    <mergeCell ref="F270:G270"/>
    <mergeCell ref="A273:C273"/>
    <mergeCell ref="D273:E273"/>
    <mergeCell ref="F273:G273"/>
    <mergeCell ref="A289:G289"/>
    <mergeCell ref="B293:C293"/>
    <mergeCell ref="D293:E293"/>
    <mergeCell ref="F293:G293"/>
    <mergeCell ref="D277:E277"/>
    <mergeCell ref="F277:G277"/>
    <mergeCell ref="A269:C269"/>
    <mergeCell ref="D269:E269"/>
    <mergeCell ref="F274:G274"/>
    <mergeCell ref="A281:G281"/>
    <mergeCell ref="A285:B285"/>
    <mergeCell ref="C285:D285"/>
    <mergeCell ref="E285:G285"/>
    <mergeCell ref="A272:C272"/>
    <mergeCell ref="D272:E272"/>
    <mergeCell ref="F272:G272"/>
    <mergeCell ref="A277:C277"/>
    <mergeCell ref="B338:C338"/>
    <mergeCell ref="D338:E338"/>
    <mergeCell ref="F338:G338"/>
    <mergeCell ref="B316:C316"/>
    <mergeCell ref="D316:E316"/>
    <mergeCell ref="F316:G316"/>
    <mergeCell ref="B326:C326"/>
    <mergeCell ref="D326:E326"/>
    <mergeCell ref="F326:G326"/>
    <mergeCell ref="B327:C327"/>
    <mergeCell ref="D327:E327"/>
    <mergeCell ref="F327:G327"/>
    <mergeCell ref="B320:C320"/>
    <mergeCell ref="D320:E320"/>
    <mergeCell ref="F320:G320"/>
    <mergeCell ref="B323:C323"/>
    <mergeCell ref="D323:E323"/>
    <mergeCell ref="F323:G323"/>
    <mergeCell ref="B324:C324"/>
    <mergeCell ref="D324:E324"/>
    <mergeCell ref="F324:G324"/>
    <mergeCell ref="B325:C325"/>
    <mergeCell ref="D325:E325"/>
    <mergeCell ref="F325:G325"/>
    <mergeCell ref="B212:C212"/>
    <mergeCell ref="D212:E212"/>
    <mergeCell ref="F211:G212"/>
    <mergeCell ref="B214:C214"/>
    <mergeCell ref="D214:E214"/>
    <mergeCell ref="F213:G214"/>
    <mergeCell ref="D209:E209"/>
    <mergeCell ref="B211:C211"/>
    <mergeCell ref="D211:E211"/>
    <mergeCell ref="B189:C189"/>
    <mergeCell ref="D189:E189"/>
    <mergeCell ref="F189:G189"/>
    <mergeCell ref="A191:G191"/>
    <mergeCell ref="F209:G210"/>
    <mergeCell ref="B210:C210"/>
    <mergeCell ref="D210:E210"/>
    <mergeCell ref="B187:C188"/>
    <mergeCell ref="D187:E188"/>
    <mergeCell ref="F187:G188"/>
    <mergeCell ref="F232:G232"/>
    <mergeCell ref="B169:C169"/>
    <mergeCell ref="D169:E169"/>
    <mergeCell ref="F169:G169"/>
    <mergeCell ref="B167:C167"/>
    <mergeCell ref="D167:E167"/>
    <mergeCell ref="F167:G167"/>
    <mergeCell ref="B184:C184"/>
    <mergeCell ref="D184:E184"/>
    <mergeCell ref="F184:G184"/>
    <mergeCell ref="B208:C208"/>
    <mergeCell ref="D208:E208"/>
    <mergeCell ref="F207:G208"/>
    <mergeCell ref="D204:E204"/>
    <mergeCell ref="F204:G204"/>
    <mergeCell ref="B205:C205"/>
    <mergeCell ref="D205:E205"/>
    <mergeCell ref="F205:G205"/>
    <mergeCell ref="B185:C185"/>
    <mergeCell ref="D185:E185"/>
    <mergeCell ref="F185:G185"/>
    <mergeCell ref="B175:C175"/>
    <mergeCell ref="D175:E175"/>
    <mergeCell ref="F175:G175"/>
    <mergeCell ref="C129:D129"/>
    <mergeCell ref="F129:G129"/>
    <mergeCell ref="C130:D130"/>
    <mergeCell ref="F130:G130"/>
    <mergeCell ref="C131:D131"/>
    <mergeCell ref="F131:G131"/>
    <mergeCell ref="A237:C237"/>
    <mergeCell ref="D237:E237"/>
    <mergeCell ref="F237:G237"/>
    <mergeCell ref="B147:C147"/>
    <mergeCell ref="D147:E147"/>
    <mergeCell ref="F147:G147"/>
    <mergeCell ref="A141:G141"/>
    <mergeCell ref="A233:C233"/>
    <mergeCell ref="D233:E233"/>
    <mergeCell ref="F233:G233"/>
    <mergeCell ref="A229:C229"/>
    <mergeCell ref="D229:E229"/>
    <mergeCell ref="F154:G154"/>
    <mergeCell ref="B155:C155"/>
    <mergeCell ref="D155:E155"/>
    <mergeCell ref="F155:G155"/>
    <mergeCell ref="A232:C232"/>
    <mergeCell ref="D232:E232"/>
    <mergeCell ref="D123:E123"/>
    <mergeCell ref="F123:G123"/>
    <mergeCell ref="A1:G1"/>
    <mergeCell ref="A3:G3"/>
    <mergeCell ref="A5:G5"/>
    <mergeCell ref="B9:C9"/>
    <mergeCell ref="D9:E9"/>
    <mergeCell ref="F9:G9"/>
    <mergeCell ref="A13:G13"/>
    <mergeCell ref="A15:G15"/>
    <mergeCell ref="A19:A21"/>
    <mergeCell ref="B19:B21"/>
    <mergeCell ref="C19:F19"/>
    <mergeCell ref="G19:G21"/>
    <mergeCell ref="C20:C21"/>
    <mergeCell ref="D20:F20"/>
    <mergeCell ref="A38:G38"/>
    <mergeCell ref="A102:G102"/>
    <mergeCell ref="A31:G31"/>
    <mergeCell ref="A42:G42"/>
    <mergeCell ref="A47:G47"/>
    <mergeCell ref="A56:G56"/>
    <mergeCell ref="A60:G60"/>
    <mergeCell ref="A70:G70"/>
    <mergeCell ref="A125:G125"/>
    <mergeCell ref="A114:G114"/>
    <mergeCell ref="B10:C10"/>
    <mergeCell ref="D10:E10"/>
    <mergeCell ref="F10:G10"/>
    <mergeCell ref="B11:C11"/>
    <mergeCell ref="D11:E11"/>
    <mergeCell ref="F11:G11"/>
    <mergeCell ref="A230:C230"/>
    <mergeCell ref="D230:E230"/>
    <mergeCell ref="F230:G230"/>
    <mergeCell ref="F229:G229"/>
    <mergeCell ref="A116:G116"/>
    <mergeCell ref="A120:A121"/>
    <mergeCell ref="B120:C121"/>
    <mergeCell ref="D120:E121"/>
    <mergeCell ref="F120:G121"/>
    <mergeCell ref="B122:C122"/>
    <mergeCell ref="D122:E122"/>
    <mergeCell ref="F122:G122"/>
    <mergeCell ref="B123:C123"/>
    <mergeCell ref="F145:G145"/>
    <mergeCell ref="B146:C146"/>
    <mergeCell ref="D146:E146"/>
    <mergeCell ref="B145:C145"/>
    <mergeCell ref="D145:E145"/>
    <mergeCell ref="A149:G149"/>
    <mergeCell ref="B153:C153"/>
    <mergeCell ref="D153:E153"/>
    <mergeCell ref="F153:G153"/>
    <mergeCell ref="B154:C154"/>
    <mergeCell ref="D154:E154"/>
    <mergeCell ref="B168:C168"/>
    <mergeCell ref="D168:E168"/>
    <mergeCell ref="F168:G168"/>
    <mergeCell ref="F146:G146"/>
    <mergeCell ref="B161:C161"/>
    <mergeCell ref="D161:E161"/>
    <mergeCell ref="F161:G161"/>
    <mergeCell ref="B162:C162"/>
    <mergeCell ref="D162:E162"/>
    <mergeCell ref="F162:G163"/>
    <mergeCell ref="B163:C163"/>
    <mergeCell ref="D163:E163"/>
    <mergeCell ref="A157:G157"/>
    <mergeCell ref="B160:C160"/>
    <mergeCell ref="D160:E160"/>
    <mergeCell ref="F160:G160"/>
    <mergeCell ref="B173:C173"/>
    <mergeCell ref="D173:E173"/>
    <mergeCell ref="F173:G173"/>
    <mergeCell ref="B174:C174"/>
    <mergeCell ref="D174:E174"/>
    <mergeCell ref="F174:G174"/>
    <mergeCell ref="B182:C182"/>
    <mergeCell ref="D182:E182"/>
    <mergeCell ref="F182:G182"/>
    <mergeCell ref="B183:C183"/>
    <mergeCell ref="D183:E183"/>
    <mergeCell ref="F183:G183"/>
    <mergeCell ref="A177:G177"/>
    <mergeCell ref="B181:C181"/>
    <mergeCell ref="D181:E181"/>
    <mergeCell ref="F181:G181"/>
    <mergeCell ref="A240:C240"/>
    <mergeCell ref="D240:E240"/>
    <mergeCell ref="F240:G240"/>
    <mergeCell ref="A221:C221"/>
    <mergeCell ref="D221:E221"/>
    <mergeCell ref="F221:G221"/>
    <mergeCell ref="A224:C224"/>
    <mergeCell ref="D224:E224"/>
    <mergeCell ref="F224:G224"/>
    <mergeCell ref="A225:C225"/>
    <mergeCell ref="D225:E225"/>
    <mergeCell ref="F225:G225"/>
    <mergeCell ref="A226:C226"/>
    <mergeCell ref="D226:E226"/>
    <mergeCell ref="F226:G226"/>
    <mergeCell ref="A228:C228"/>
    <mergeCell ref="D228:E228"/>
    <mergeCell ref="D236:E236"/>
    <mergeCell ref="F236:G236"/>
    <mergeCell ref="A234:C234"/>
    <mergeCell ref="D234:E234"/>
    <mergeCell ref="F234:G234"/>
    <mergeCell ref="A264:C264"/>
    <mergeCell ref="D264:E264"/>
    <mergeCell ref="F264:G264"/>
    <mergeCell ref="A254:C254"/>
    <mergeCell ref="D254:E254"/>
    <mergeCell ref="F254:G254"/>
    <mergeCell ref="A253:C253"/>
    <mergeCell ref="D253:E253"/>
    <mergeCell ref="F253:G253"/>
    <mergeCell ref="A247:C247"/>
    <mergeCell ref="D247:E247"/>
    <mergeCell ref="F247:G247"/>
    <mergeCell ref="A248:C248"/>
    <mergeCell ref="D248:E248"/>
    <mergeCell ref="F248:G248"/>
    <mergeCell ref="A249:C249"/>
    <mergeCell ref="D249:E249"/>
    <mergeCell ref="A265:C265"/>
    <mergeCell ref="D265:E265"/>
    <mergeCell ref="F265:G265"/>
    <mergeCell ref="A244:C244"/>
    <mergeCell ref="D244:E244"/>
    <mergeCell ref="F244:G244"/>
    <mergeCell ref="A245:C245"/>
    <mergeCell ref="D245:E245"/>
    <mergeCell ref="F245:G245"/>
    <mergeCell ref="A246:C246"/>
    <mergeCell ref="D246:E246"/>
    <mergeCell ref="F246:G246"/>
    <mergeCell ref="F251:G251"/>
    <mergeCell ref="A260:G260"/>
    <mergeCell ref="A258:C258"/>
    <mergeCell ref="D258:E258"/>
    <mergeCell ref="F258:G258"/>
    <mergeCell ref="F249:G249"/>
    <mergeCell ref="A251:C251"/>
    <mergeCell ref="D251:E251"/>
    <mergeCell ref="F255:G255"/>
    <mergeCell ref="A266:C266"/>
    <mergeCell ref="D266:E266"/>
    <mergeCell ref="F266:G266"/>
    <mergeCell ref="A267:C267"/>
    <mergeCell ref="D267:E267"/>
    <mergeCell ref="F267:G267"/>
    <mergeCell ref="F305:G305"/>
    <mergeCell ref="A286:B286"/>
    <mergeCell ref="C286:D286"/>
    <mergeCell ref="A279:C279"/>
    <mergeCell ref="D279:E279"/>
    <mergeCell ref="F279:G279"/>
    <mergeCell ref="A274:C274"/>
    <mergeCell ref="D274:E274"/>
    <mergeCell ref="A275:C275"/>
    <mergeCell ref="D275:E275"/>
    <mergeCell ref="F275:G275"/>
    <mergeCell ref="E286:G286"/>
    <mergeCell ref="A276:C276"/>
    <mergeCell ref="D276:E276"/>
    <mergeCell ref="F276:G276"/>
    <mergeCell ref="A278:C278"/>
    <mergeCell ref="D278:E278"/>
    <mergeCell ref="F278:G278"/>
    <mergeCell ref="D310:E310"/>
    <mergeCell ref="F310:G310"/>
    <mergeCell ref="B311:C311"/>
    <mergeCell ref="D311:E311"/>
    <mergeCell ref="F311:G311"/>
    <mergeCell ref="B308:C308"/>
    <mergeCell ref="D308:E308"/>
    <mergeCell ref="F308:G308"/>
    <mergeCell ref="B309:C309"/>
    <mergeCell ref="D309:E309"/>
    <mergeCell ref="F309:G309"/>
    <mergeCell ref="D306:E306"/>
    <mergeCell ref="F306:G306"/>
    <mergeCell ref="B307:C307"/>
    <mergeCell ref="D307:E307"/>
    <mergeCell ref="F307:G307"/>
    <mergeCell ref="A300:G300"/>
    <mergeCell ref="B304:C304"/>
    <mergeCell ref="D304:E304"/>
    <mergeCell ref="F304:G304"/>
    <mergeCell ref="B305:C305"/>
    <mergeCell ref="D305:E305"/>
    <mergeCell ref="B294:C294"/>
    <mergeCell ref="F139:G139"/>
    <mergeCell ref="C137:D137"/>
    <mergeCell ref="C138:D138"/>
    <mergeCell ref="C139:D139"/>
    <mergeCell ref="A349:B349"/>
    <mergeCell ref="C344:D344"/>
    <mergeCell ref="F344:G344"/>
    <mergeCell ref="C346:D346"/>
    <mergeCell ref="F346:G346"/>
    <mergeCell ref="C347:D347"/>
    <mergeCell ref="F347:G347"/>
    <mergeCell ref="C340:D340"/>
    <mergeCell ref="F340:G340"/>
    <mergeCell ref="C341:D341"/>
    <mergeCell ref="F341:G341"/>
    <mergeCell ref="C343:D343"/>
    <mergeCell ref="F343:G343"/>
    <mergeCell ref="B337:C337"/>
    <mergeCell ref="D337:E337"/>
    <mergeCell ref="F337:G337"/>
    <mergeCell ref="B209:C209"/>
    <mergeCell ref="B319:C319"/>
    <mergeCell ref="D319:E319"/>
    <mergeCell ref="F138:G138"/>
    <mergeCell ref="F239:G239"/>
    <mergeCell ref="A222:C222"/>
    <mergeCell ref="D222:E222"/>
    <mergeCell ref="F222:G222"/>
    <mergeCell ref="A217:G217"/>
    <mergeCell ref="B213:C213"/>
    <mergeCell ref="D213:E213"/>
    <mergeCell ref="B215:C215"/>
    <mergeCell ref="D215:E215"/>
    <mergeCell ref="F215:G215"/>
    <mergeCell ref="A223:C223"/>
    <mergeCell ref="D223:E223"/>
    <mergeCell ref="F223:G223"/>
    <mergeCell ref="A235:C235"/>
    <mergeCell ref="A227:C227"/>
    <mergeCell ref="D227:E227"/>
    <mergeCell ref="F227:G227"/>
    <mergeCell ref="A231:C231"/>
    <mergeCell ref="D231:E231"/>
    <mergeCell ref="F231:G231"/>
    <mergeCell ref="A238:C238"/>
    <mergeCell ref="F228:G228"/>
    <mergeCell ref="A236:C236"/>
    <mergeCell ref="A78:G78"/>
    <mergeCell ref="A85:G85"/>
    <mergeCell ref="A97:G97"/>
    <mergeCell ref="B198:C198"/>
    <mergeCell ref="D198:E198"/>
    <mergeCell ref="F198:G198"/>
    <mergeCell ref="B206:C206"/>
    <mergeCell ref="D206:E206"/>
    <mergeCell ref="F206:G206"/>
    <mergeCell ref="A200:G200"/>
    <mergeCell ref="B204:C204"/>
    <mergeCell ref="B195:C195"/>
    <mergeCell ref="D195:E195"/>
    <mergeCell ref="F195:G195"/>
    <mergeCell ref="B196:C196"/>
    <mergeCell ref="D196:E196"/>
    <mergeCell ref="F196:G196"/>
    <mergeCell ref="B197:C197"/>
    <mergeCell ref="D197:E197"/>
    <mergeCell ref="F197:G197"/>
    <mergeCell ref="A133:G133"/>
    <mergeCell ref="B186:C186"/>
    <mergeCell ref="D186:E186"/>
    <mergeCell ref="F137:G137"/>
    <mergeCell ref="F186:G186"/>
    <mergeCell ref="B336:C336"/>
    <mergeCell ref="D336:E336"/>
    <mergeCell ref="F336:G336"/>
    <mergeCell ref="A268:C268"/>
    <mergeCell ref="D268:E268"/>
    <mergeCell ref="F268:G268"/>
    <mergeCell ref="A271:C271"/>
    <mergeCell ref="D271:E271"/>
    <mergeCell ref="F271:G271"/>
    <mergeCell ref="B329:C329"/>
    <mergeCell ref="D329:E329"/>
    <mergeCell ref="F329:G329"/>
    <mergeCell ref="B330:C330"/>
    <mergeCell ref="D330:E330"/>
    <mergeCell ref="F330:G330"/>
    <mergeCell ref="B331:C331"/>
    <mergeCell ref="D331:E331"/>
    <mergeCell ref="F331:G331"/>
    <mergeCell ref="B332:C332"/>
    <mergeCell ref="D332:E332"/>
    <mergeCell ref="F332:G332"/>
    <mergeCell ref="B321:C321"/>
    <mergeCell ref="D321:E321"/>
    <mergeCell ref="B335:C335"/>
    <mergeCell ref="D335:E335"/>
    <mergeCell ref="F335:G335"/>
    <mergeCell ref="B207:C207"/>
    <mergeCell ref="D207:E207"/>
    <mergeCell ref="F238:G238"/>
    <mergeCell ref="A239:C239"/>
    <mergeCell ref="D239:E239"/>
    <mergeCell ref="B328:C328"/>
    <mergeCell ref="D328:E328"/>
    <mergeCell ref="F328:G328"/>
    <mergeCell ref="D235:E235"/>
    <mergeCell ref="F235:G235"/>
    <mergeCell ref="B322:C322"/>
    <mergeCell ref="D322:E322"/>
    <mergeCell ref="F322:G322"/>
    <mergeCell ref="B314:C314"/>
    <mergeCell ref="D314:E314"/>
    <mergeCell ref="F314:G314"/>
    <mergeCell ref="B315:C315"/>
    <mergeCell ref="D315:E315"/>
    <mergeCell ref="B333:C333"/>
    <mergeCell ref="D333:E333"/>
    <mergeCell ref="D238:E238"/>
    <mergeCell ref="F333:G333"/>
    <mergeCell ref="B334:C334"/>
    <mergeCell ref="D334:E334"/>
    <mergeCell ref="F334:G334"/>
    <mergeCell ref="F315:G315"/>
    <mergeCell ref="B317:C317"/>
    <mergeCell ref="D317:E317"/>
    <mergeCell ref="F317:G317"/>
    <mergeCell ref="B318:C318"/>
    <mergeCell ref="D318:E318"/>
    <mergeCell ref="F318:G318"/>
    <mergeCell ref="F321:G321"/>
    <mergeCell ref="F319:G319"/>
    <mergeCell ref="B312:C312"/>
    <mergeCell ref="D312:E312"/>
    <mergeCell ref="F312:G312"/>
    <mergeCell ref="B313:C313"/>
    <mergeCell ref="D313:E313"/>
    <mergeCell ref="F313:G313"/>
    <mergeCell ref="B310:C310"/>
    <mergeCell ref="A287:B287"/>
    <mergeCell ref="C287:D287"/>
    <mergeCell ref="E287:G287"/>
    <mergeCell ref="B306:C306"/>
    <mergeCell ref="D294:E294"/>
    <mergeCell ref="F294:G294"/>
    <mergeCell ref="B295:C295"/>
    <mergeCell ref="D295:E295"/>
    <mergeCell ref="F295:G295"/>
    <mergeCell ref="B298:C298"/>
    <mergeCell ref="D298:E298"/>
    <mergeCell ref="F298:G298"/>
    <mergeCell ref="B296:C296"/>
    <mergeCell ref="D296:E296"/>
    <mergeCell ref="F296:G296"/>
    <mergeCell ref="B297:C297"/>
    <mergeCell ref="D297:E297"/>
  </mergeCells>
  <pageMargins left="1.3779527559055118" right="0.39370078740157483" top="0.98425196850393704" bottom="0.78740157480314965" header="0.31496062992125984" footer="0.31496062992125984"/>
  <pageSetup paperSize="9" scale="55" orientation="portrait" r:id="rId1"/>
  <rowBreaks count="6" manualBreakCount="6">
    <brk id="37" max="16383" man="1"/>
    <brk id="96" max="16383" man="1"/>
    <brk id="148" max="16383" man="1"/>
    <brk id="196" max="16383" man="1"/>
    <brk id="245" max="6" man="1"/>
    <brk id="2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17"/>
  <sheetViews>
    <sheetView view="pageBreakPreview" topLeftCell="A84" zoomScaleNormal="100" zoomScaleSheetLayoutView="100" workbookViewId="0">
      <selection activeCell="E96" sqref="E96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7109375" style="7" customWidth="1"/>
    <col min="7" max="7" width="8.85546875" style="7"/>
    <col min="8" max="8" width="13.7109375" style="7" customWidth="1"/>
    <col min="9" max="11" width="12.28515625" style="7" bestFit="1" customWidth="1"/>
    <col min="12" max="16384" width="8.85546875" style="7"/>
  </cols>
  <sheetData>
    <row r="1" spans="1:11" ht="18.75" x14ac:dyDescent="0.25">
      <c r="A1" s="232" t="s">
        <v>190</v>
      </c>
      <c r="B1" s="232"/>
      <c r="C1" s="232"/>
      <c r="D1" s="232"/>
      <c r="E1" s="232"/>
      <c r="F1" s="232"/>
    </row>
    <row r="2" spans="1:11" ht="18.75" x14ac:dyDescent="0.25">
      <c r="A2" s="232" t="s">
        <v>471</v>
      </c>
      <c r="B2" s="232"/>
      <c r="C2" s="232"/>
      <c r="D2" s="232"/>
      <c r="E2" s="232"/>
      <c r="F2" s="232"/>
    </row>
    <row r="3" spans="1:11" x14ac:dyDescent="0.25">
      <c r="A3" s="30"/>
    </row>
    <row r="4" spans="1:11" ht="19.5" thickBot="1" x14ac:dyDescent="0.3">
      <c r="A4" s="6"/>
      <c r="F4" s="6" t="s">
        <v>51</v>
      </c>
    </row>
    <row r="5" spans="1:11" ht="18.600000000000001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2</v>
      </c>
      <c r="F5" s="236"/>
    </row>
    <row r="6" spans="1:11" ht="126.75" thickBot="1" x14ac:dyDescent="0.3">
      <c r="A6" s="225"/>
      <c r="B6" s="227"/>
      <c r="C6" s="229"/>
      <c r="D6" s="227"/>
      <c r="E6" s="117" t="s">
        <v>3</v>
      </c>
      <c r="F6" s="38" t="s">
        <v>4</v>
      </c>
    </row>
    <row r="7" spans="1:11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11" ht="56.25" x14ac:dyDescent="0.25">
      <c r="A8" s="39" t="s">
        <v>47</v>
      </c>
      <c r="B8" s="40" t="s">
        <v>5</v>
      </c>
      <c r="C8" s="40" t="s">
        <v>5</v>
      </c>
      <c r="D8" s="41">
        <f>E8+F8</f>
        <v>2356998.64</v>
      </c>
      <c r="E8" s="209">
        <v>2356998.64</v>
      </c>
      <c r="F8" s="42"/>
    </row>
    <row r="9" spans="1:11" ht="56.25" x14ac:dyDescent="0.25">
      <c r="A9" s="115" t="s">
        <v>48</v>
      </c>
      <c r="B9" s="119" t="s">
        <v>5</v>
      </c>
      <c r="C9" s="119" t="s">
        <v>5</v>
      </c>
      <c r="D9" s="5">
        <f>E9+F9</f>
        <v>4.6566128730773926E-10</v>
      </c>
      <c r="E9" s="210">
        <f>E8+E10-E25+E107</f>
        <v>4.6566128730773926E-10</v>
      </c>
      <c r="F9" s="5">
        <f>F8+F10-F25+F107</f>
        <v>0</v>
      </c>
    </row>
    <row r="10" spans="1:11" ht="18.75" x14ac:dyDescent="0.25">
      <c r="A10" s="115" t="s">
        <v>49</v>
      </c>
      <c r="B10" s="119" t="s">
        <v>5</v>
      </c>
      <c r="C10" s="119" t="s">
        <v>5</v>
      </c>
      <c r="D10" s="2">
        <f>E10+F10</f>
        <v>1480350.46</v>
      </c>
      <c r="E10" s="211">
        <f>E12+E13+E14+E15+E16+E17+E21</f>
        <v>1480350.46</v>
      </c>
      <c r="F10" s="4">
        <f>F12+F13+F14+F15+F16+F17+F21+F102</f>
        <v>0</v>
      </c>
      <c r="J10" s="50"/>
      <c r="K10" s="50"/>
    </row>
    <row r="11" spans="1:11" ht="18.75" x14ac:dyDescent="0.25">
      <c r="A11" s="115" t="s">
        <v>6</v>
      </c>
      <c r="B11" s="119"/>
      <c r="C11" s="119"/>
      <c r="D11" s="2"/>
      <c r="E11" s="211"/>
      <c r="F11" s="4"/>
      <c r="J11" s="50"/>
      <c r="K11" s="50"/>
    </row>
    <row r="12" spans="1:11" ht="37.5" x14ac:dyDescent="0.25">
      <c r="A12" s="115" t="s">
        <v>66</v>
      </c>
      <c r="B12" s="119">
        <v>120</v>
      </c>
      <c r="C12" s="119" t="s">
        <v>5</v>
      </c>
      <c r="D12" s="2">
        <f t="shared" ref="D12:D78" si="0">E12+F12</f>
        <v>0</v>
      </c>
      <c r="E12" s="211">
        <v>0</v>
      </c>
      <c r="F12" s="4"/>
      <c r="J12" s="50"/>
      <c r="K12" s="50"/>
    </row>
    <row r="13" spans="1:11" ht="93.75" x14ac:dyDescent="0.25">
      <c r="A13" s="115" t="s">
        <v>65</v>
      </c>
      <c r="B13" s="119">
        <v>130</v>
      </c>
      <c r="C13" s="119" t="s">
        <v>5</v>
      </c>
      <c r="D13" s="2">
        <f>E13+F13</f>
        <v>1476872</v>
      </c>
      <c r="E13" s="211">
        <f>193717+7500+1275655</f>
        <v>1476872</v>
      </c>
      <c r="F13" s="4"/>
      <c r="J13" s="50"/>
      <c r="K13" s="50"/>
    </row>
    <row r="14" spans="1:11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3478.46</v>
      </c>
      <c r="E14" s="211">
        <f>1762.43+1560+93.33+62.7</f>
        <v>3478.46</v>
      </c>
      <c r="F14" s="4"/>
      <c r="J14" s="50"/>
      <c r="K14" s="50"/>
    </row>
    <row r="15" spans="1:11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11">
        <v>0</v>
      </c>
      <c r="F15" s="4"/>
    </row>
    <row r="16" spans="1:11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11"/>
      <c r="F16" s="4"/>
    </row>
    <row r="17" spans="1:6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11">
        <f t="shared" ref="E17:F17" si="1">E19+E20</f>
        <v>0</v>
      </c>
      <c r="F17" s="4">
        <f t="shared" si="1"/>
        <v>0</v>
      </c>
    </row>
    <row r="18" spans="1:6" ht="18.75" x14ac:dyDescent="0.25">
      <c r="A18" s="115" t="s">
        <v>6</v>
      </c>
      <c r="B18" s="119"/>
      <c r="C18" s="119"/>
      <c r="D18" s="2"/>
      <c r="E18" s="211"/>
      <c r="F18" s="4"/>
    </row>
    <row r="19" spans="1:6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11">
        <v>0</v>
      </c>
      <c r="F19" s="4"/>
    </row>
    <row r="20" spans="1:6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11">
        <v>0</v>
      </c>
      <c r="F20" s="4"/>
    </row>
    <row r="21" spans="1:6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11">
        <f t="shared" ref="E21:F21" si="2">E23+E24</f>
        <v>0</v>
      </c>
      <c r="F21" s="4">
        <f t="shared" si="2"/>
        <v>0</v>
      </c>
    </row>
    <row r="22" spans="1:6" ht="18.75" x14ac:dyDescent="0.25">
      <c r="A22" s="115" t="s">
        <v>9</v>
      </c>
      <c r="B22" s="119"/>
      <c r="C22" s="119"/>
      <c r="D22" s="2"/>
      <c r="E22" s="211"/>
      <c r="F22" s="4"/>
    </row>
    <row r="23" spans="1:6" ht="136.9" customHeight="1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11">
        <v>0</v>
      </c>
      <c r="F23" s="4"/>
    </row>
    <row r="24" spans="1:6" ht="198" customHeight="1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11">
        <v>0</v>
      </c>
      <c r="F24" s="4"/>
    </row>
    <row r="25" spans="1:6" ht="18.75" x14ac:dyDescent="0.25">
      <c r="A25" s="115" t="s">
        <v>7</v>
      </c>
      <c r="B25" s="119" t="s">
        <v>5</v>
      </c>
      <c r="C25" s="119">
        <v>900</v>
      </c>
      <c r="D25" s="5">
        <f t="shared" si="0"/>
        <v>3837349.0999999996</v>
      </c>
      <c r="E25" s="211">
        <f>E27+E93</f>
        <v>3837349.0999999996</v>
      </c>
      <c r="F25" s="2">
        <f>F27+F93</f>
        <v>0</v>
      </c>
    </row>
    <row r="26" spans="1:6" ht="18.75" x14ac:dyDescent="0.25">
      <c r="A26" s="115" t="s">
        <v>6</v>
      </c>
      <c r="B26" s="119"/>
      <c r="C26" s="119"/>
      <c r="D26" s="5"/>
      <c r="E26" s="211"/>
      <c r="F26" s="2"/>
    </row>
    <row r="27" spans="1:6" ht="18.75" x14ac:dyDescent="0.25">
      <c r="A27" s="115" t="s">
        <v>8</v>
      </c>
      <c r="B27" s="119" t="s">
        <v>5</v>
      </c>
      <c r="C27" s="119">
        <v>200</v>
      </c>
      <c r="D27" s="5">
        <f t="shared" si="0"/>
        <v>1193183.6299999999</v>
      </c>
      <c r="E27" s="211">
        <f>E29+E37+E66+E73</f>
        <v>1193183.6299999999</v>
      </c>
      <c r="F27" s="2">
        <f>F29+F37+F66+F73</f>
        <v>0</v>
      </c>
    </row>
    <row r="28" spans="1:6" ht="14.45" customHeight="1" x14ac:dyDescent="0.25">
      <c r="A28" s="115" t="s">
        <v>9</v>
      </c>
      <c r="B28" s="119"/>
      <c r="C28" s="119"/>
      <c r="D28" s="5"/>
      <c r="E28" s="211"/>
      <c r="F28" s="2"/>
    </row>
    <row r="29" spans="1:6" ht="75" x14ac:dyDescent="0.25">
      <c r="A29" s="115" t="s">
        <v>10</v>
      </c>
      <c r="B29" s="119" t="s">
        <v>5</v>
      </c>
      <c r="C29" s="119">
        <v>210</v>
      </c>
      <c r="D29" s="5">
        <f t="shared" si="0"/>
        <v>1083433.6299999999</v>
      </c>
      <c r="E29" s="211">
        <f>E31+E32+E33+E34</f>
        <v>1083433.6299999999</v>
      </c>
      <c r="F29" s="2">
        <f>F31+F32+F33+F34</f>
        <v>0</v>
      </c>
    </row>
    <row r="30" spans="1:6" ht="18.75" x14ac:dyDescent="0.25">
      <c r="A30" s="115" t="s">
        <v>9</v>
      </c>
      <c r="B30" s="119"/>
      <c r="C30" s="119"/>
      <c r="D30" s="5"/>
      <c r="E30" s="211"/>
      <c r="F30" s="2"/>
    </row>
    <row r="31" spans="1:6" ht="18.75" x14ac:dyDescent="0.25">
      <c r="A31" s="115" t="s">
        <v>11</v>
      </c>
      <c r="B31" s="119">
        <v>111</v>
      </c>
      <c r="C31" s="119">
        <v>211</v>
      </c>
      <c r="D31" s="5">
        <f t="shared" si="0"/>
        <v>832130.08</v>
      </c>
      <c r="E31" s="211">
        <f>832130.08</f>
        <v>832130.08</v>
      </c>
      <c r="F31" s="2"/>
    </row>
    <row r="32" spans="1:6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11">
        <v>0</v>
      </c>
      <c r="F32" s="2"/>
    </row>
    <row r="33" spans="1:6" ht="56.25" x14ac:dyDescent="0.25">
      <c r="A33" s="115" t="s">
        <v>13</v>
      </c>
      <c r="B33" s="119">
        <v>119</v>
      </c>
      <c r="C33" s="119">
        <v>213</v>
      </c>
      <c r="D33" s="5">
        <f t="shared" si="0"/>
        <v>251303.55</v>
      </c>
      <c r="E33" s="211">
        <v>251303.55</v>
      </c>
      <c r="F33" s="2"/>
    </row>
    <row r="34" spans="1:6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11">
        <f>E35+E36</f>
        <v>0</v>
      </c>
      <c r="F34" s="2">
        <f>F35+F36</f>
        <v>0</v>
      </c>
    </row>
    <row r="35" spans="1:6" ht="18.75" x14ac:dyDescent="0.25">
      <c r="A35" s="230" t="s">
        <v>6</v>
      </c>
      <c r="B35" s="119">
        <v>112</v>
      </c>
      <c r="C35" s="119">
        <v>214</v>
      </c>
      <c r="D35" s="5">
        <f t="shared" si="0"/>
        <v>0</v>
      </c>
      <c r="E35" s="211">
        <v>0</v>
      </c>
      <c r="F35" s="2"/>
    </row>
    <row r="36" spans="1:6" ht="14.45" customHeight="1" x14ac:dyDescent="0.25">
      <c r="A36" s="231"/>
      <c r="B36" s="119">
        <v>244</v>
      </c>
      <c r="C36" s="119">
        <v>214</v>
      </c>
      <c r="D36" s="5">
        <v>0</v>
      </c>
      <c r="E36" s="211">
        <v>0</v>
      </c>
      <c r="F36" s="2"/>
    </row>
    <row r="37" spans="1:6" ht="37.5" x14ac:dyDescent="0.25">
      <c r="A37" s="115" t="s">
        <v>14</v>
      </c>
      <c r="B37" s="119" t="s">
        <v>5</v>
      </c>
      <c r="C37" s="119">
        <v>220</v>
      </c>
      <c r="D37" s="5">
        <f t="shared" si="0"/>
        <v>106750</v>
      </c>
      <c r="E37" s="211">
        <f>E39+E40+E43+E54+E55+E58+E64+E65</f>
        <v>106750</v>
      </c>
      <c r="F37" s="2">
        <f>F39+F40+F43+F54+F55+F58+F64</f>
        <v>0</v>
      </c>
    </row>
    <row r="38" spans="1:6" ht="18.75" x14ac:dyDescent="0.25">
      <c r="A38" s="115" t="s">
        <v>9</v>
      </c>
      <c r="B38" s="119"/>
      <c r="C38" s="119"/>
      <c r="D38" s="5"/>
      <c r="E38" s="211"/>
      <c r="F38" s="2"/>
    </row>
    <row r="39" spans="1:6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11">
        <v>0</v>
      </c>
      <c r="F39" s="2"/>
    </row>
    <row r="40" spans="1:6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11">
        <f>E41+E42</f>
        <v>0</v>
      </c>
      <c r="F40" s="2">
        <f>F41+F42</f>
        <v>0</v>
      </c>
    </row>
    <row r="41" spans="1:6" ht="22.9" customHeight="1" x14ac:dyDescent="0.25">
      <c r="A41" s="216" t="s">
        <v>6</v>
      </c>
      <c r="B41" s="119">
        <v>112</v>
      </c>
      <c r="C41" s="119">
        <v>222</v>
      </c>
      <c r="D41" s="5">
        <f t="shared" si="0"/>
        <v>0</v>
      </c>
      <c r="E41" s="211">
        <v>0</v>
      </c>
      <c r="F41" s="2"/>
    </row>
    <row r="42" spans="1:6" ht="18.75" x14ac:dyDescent="0.25">
      <c r="A42" s="216"/>
      <c r="B42" s="119">
        <v>244</v>
      </c>
      <c r="C42" s="119">
        <v>222</v>
      </c>
      <c r="D42" s="5">
        <f t="shared" si="0"/>
        <v>0</v>
      </c>
      <c r="E42" s="211">
        <v>0</v>
      </c>
      <c r="F42" s="2"/>
    </row>
    <row r="43" spans="1:6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11">
        <f t="shared" ref="E43:F43" si="3">E46+E48+E50+E51+E52</f>
        <v>0</v>
      </c>
      <c r="F43" s="2">
        <f t="shared" si="3"/>
        <v>0</v>
      </c>
    </row>
    <row r="44" spans="1:6" ht="18.75" x14ac:dyDescent="0.25">
      <c r="A44" s="115" t="s">
        <v>6</v>
      </c>
      <c r="B44" s="119"/>
      <c r="C44" s="119"/>
      <c r="D44" s="5"/>
      <c r="E44" s="211"/>
      <c r="F44" s="2"/>
    </row>
    <row r="45" spans="1:6" ht="56.25" x14ac:dyDescent="0.25">
      <c r="A45" s="190" t="s">
        <v>18</v>
      </c>
      <c r="B45" s="191">
        <v>244</v>
      </c>
      <c r="C45" s="191">
        <v>223</v>
      </c>
      <c r="D45" s="5">
        <f t="shared" ref="D45" si="4">E45+F45</f>
        <v>0</v>
      </c>
      <c r="E45" s="211">
        <v>0</v>
      </c>
      <c r="F45" s="2"/>
    </row>
    <row r="46" spans="1:6" ht="56.25" x14ac:dyDescent="0.25">
      <c r="A46" s="115" t="s">
        <v>18</v>
      </c>
      <c r="B46" s="119">
        <v>247</v>
      </c>
      <c r="C46" s="119">
        <v>223</v>
      </c>
      <c r="D46" s="5">
        <f t="shared" si="0"/>
        <v>0</v>
      </c>
      <c r="E46" s="211">
        <v>0</v>
      </c>
      <c r="F46" s="2"/>
    </row>
    <row r="47" spans="1:6" ht="37.5" x14ac:dyDescent="0.25">
      <c r="A47" s="190" t="s">
        <v>19</v>
      </c>
      <c r="B47" s="191">
        <v>244</v>
      </c>
      <c r="C47" s="191">
        <v>223</v>
      </c>
      <c r="D47" s="5">
        <f t="shared" ref="D47" si="5">E47+F47</f>
        <v>0</v>
      </c>
      <c r="E47" s="211">
        <v>0</v>
      </c>
      <c r="F47" s="2"/>
    </row>
    <row r="48" spans="1:6" ht="37.5" x14ac:dyDescent="0.25">
      <c r="A48" s="115" t="s">
        <v>19</v>
      </c>
      <c r="B48" s="119">
        <v>247</v>
      </c>
      <c r="C48" s="119">
        <v>223</v>
      </c>
      <c r="D48" s="5">
        <f t="shared" si="0"/>
        <v>0</v>
      </c>
      <c r="E48" s="211">
        <f>32970.52-32970.52</f>
        <v>0</v>
      </c>
      <c r="F48" s="2"/>
    </row>
    <row r="49" spans="1:6" ht="75" x14ac:dyDescent="0.25">
      <c r="A49" s="190" t="s">
        <v>20</v>
      </c>
      <c r="B49" s="191">
        <v>244</v>
      </c>
      <c r="C49" s="191">
        <v>223</v>
      </c>
      <c r="D49" s="5">
        <f t="shared" ref="D49" si="6">E49+F49</f>
        <v>0</v>
      </c>
      <c r="E49" s="211">
        <v>0</v>
      </c>
      <c r="F49" s="2"/>
    </row>
    <row r="50" spans="1:6" ht="63" customHeight="1" x14ac:dyDescent="0.25">
      <c r="A50" s="115" t="s">
        <v>20</v>
      </c>
      <c r="B50" s="119">
        <v>247</v>
      </c>
      <c r="C50" s="119">
        <v>223</v>
      </c>
      <c r="D50" s="5">
        <f t="shared" si="0"/>
        <v>0</v>
      </c>
      <c r="E50" s="211">
        <v>0</v>
      </c>
      <c r="F50" s="2"/>
    </row>
    <row r="51" spans="1:6" ht="75" x14ac:dyDescent="0.25">
      <c r="A51" s="115" t="s">
        <v>21</v>
      </c>
      <c r="B51" s="119">
        <v>244</v>
      </c>
      <c r="C51" s="119">
        <v>223</v>
      </c>
      <c r="D51" s="5">
        <f t="shared" si="0"/>
        <v>0</v>
      </c>
      <c r="E51" s="211">
        <v>0</v>
      </c>
      <c r="F51" s="2"/>
    </row>
    <row r="52" spans="1:6" ht="56.25" x14ac:dyDescent="0.25">
      <c r="A52" s="115" t="s">
        <v>22</v>
      </c>
      <c r="B52" s="119">
        <v>244</v>
      </c>
      <c r="C52" s="119">
        <v>223</v>
      </c>
      <c r="D52" s="5">
        <f t="shared" si="0"/>
        <v>0</v>
      </c>
      <c r="E52" s="211">
        <v>0</v>
      </c>
      <c r="F52" s="2"/>
    </row>
    <row r="53" spans="1:6" ht="56.25" x14ac:dyDescent="0.25">
      <c r="A53" s="195" t="s">
        <v>446</v>
      </c>
      <c r="B53" s="196">
        <v>244</v>
      </c>
      <c r="C53" s="196">
        <v>223</v>
      </c>
      <c r="D53" s="5">
        <f t="shared" ref="D53" si="7">E53+F53</f>
        <v>0</v>
      </c>
      <c r="E53" s="211">
        <v>0</v>
      </c>
      <c r="F53" s="2"/>
    </row>
    <row r="54" spans="1:6" ht="168.75" x14ac:dyDescent="0.25">
      <c r="A54" s="115" t="s">
        <v>23</v>
      </c>
      <c r="B54" s="119">
        <v>244</v>
      </c>
      <c r="C54" s="119">
        <v>224</v>
      </c>
      <c r="D54" s="5">
        <f t="shared" si="0"/>
        <v>0</v>
      </c>
      <c r="E54" s="211">
        <v>0</v>
      </c>
      <c r="F54" s="2"/>
    </row>
    <row r="55" spans="1:6" ht="56.25" x14ac:dyDescent="0.25">
      <c r="A55" s="115" t="s">
        <v>24</v>
      </c>
      <c r="B55" s="119" t="s">
        <v>5</v>
      </c>
      <c r="C55" s="119">
        <v>225</v>
      </c>
      <c r="D55" s="2">
        <f t="shared" ref="D55:F55" si="8">D56+D57</f>
        <v>10560</v>
      </c>
      <c r="E55" s="211">
        <f>E56+E57</f>
        <v>10560</v>
      </c>
      <c r="F55" s="2">
        <f t="shared" si="8"/>
        <v>0</v>
      </c>
    </row>
    <row r="56" spans="1:6" ht="18.75" x14ac:dyDescent="0.25">
      <c r="A56" s="216" t="s">
        <v>6</v>
      </c>
      <c r="B56" s="119">
        <v>243</v>
      </c>
      <c r="C56" s="119">
        <v>225</v>
      </c>
      <c r="D56" s="5">
        <f t="shared" si="0"/>
        <v>0</v>
      </c>
      <c r="E56" s="211">
        <v>0</v>
      </c>
      <c r="F56" s="2"/>
    </row>
    <row r="57" spans="1:6" ht="18.75" x14ac:dyDescent="0.25">
      <c r="A57" s="216"/>
      <c r="B57" s="119">
        <v>244</v>
      </c>
      <c r="C57" s="119">
        <v>225</v>
      </c>
      <c r="D57" s="5">
        <f t="shared" si="0"/>
        <v>10560</v>
      </c>
      <c r="E57" s="211">
        <f>9000+1560</f>
        <v>10560</v>
      </c>
      <c r="F57" s="2"/>
    </row>
    <row r="58" spans="1:6" ht="37.5" x14ac:dyDescent="0.25">
      <c r="A58" s="115" t="s">
        <v>58</v>
      </c>
      <c r="B58" s="119" t="s">
        <v>5</v>
      </c>
      <c r="C58" s="119">
        <v>226</v>
      </c>
      <c r="D58" s="5">
        <f t="shared" si="0"/>
        <v>96190</v>
      </c>
      <c r="E58" s="211">
        <f>E59+E60+E62+E63+E61</f>
        <v>96190</v>
      </c>
      <c r="F58" s="2">
        <f>F59+F60+F62+F63+F61</f>
        <v>0</v>
      </c>
    </row>
    <row r="59" spans="1:6" ht="18.75" x14ac:dyDescent="0.25">
      <c r="A59" s="216" t="s">
        <v>6</v>
      </c>
      <c r="B59" s="119">
        <v>112</v>
      </c>
      <c r="C59" s="119">
        <v>226</v>
      </c>
      <c r="D59" s="5">
        <f t="shared" si="0"/>
        <v>80000</v>
      </c>
      <c r="E59" s="211">
        <f>35302+44698</f>
        <v>80000</v>
      </c>
      <c r="F59" s="2"/>
    </row>
    <row r="60" spans="1:6" ht="18.75" x14ac:dyDescent="0.25">
      <c r="A60" s="216"/>
      <c r="B60" s="119">
        <v>113</v>
      </c>
      <c r="C60" s="119">
        <v>226</v>
      </c>
      <c r="D60" s="5">
        <f t="shared" si="0"/>
        <v>0</v>
      </c>
      <c r="E60" s="211">
        <v>0</v>
      </c>
      <c r="F60" s="2"/>
    </row>
    <row r="61" spans="1:6" ht="18.75" x14ac:dyDescent="0.25">
      <c r="A61" s="216"/>
      <c r="B61" s="119">
        <v>119</v>
      </c>
      <c r="C61" s="119">
        <v>226</v>
      </c>
      <c r="D61" s="5">
        <f t="shared" si="0"/>
        <v>0</v>
      </c>
      <c r="E61" s="211">
        <v>0</v>
      </c>
      <c r="F61" s="2"/>
    </row>
    <row r="62" spans="1:6" ht="18.75" x14ac:dyDescent="0.25">
      <c r="A62" s="216"/>
      <c r="B62" s="119">
        <v>243</v>
      </c>
      <c r="C62" s="119">
        <v>226</v>
      </c>
      <c r="D62" s="5">
        <f t="shared" si="0"/>
        <v>0</v>
      </c>
      <c r="E62" s="211">
        <v>0</v>
      </c>
      <c r="F62" s="2"/>
    </row>
    <row r="63" spans="1:6" ht="18.75" x14ac:dyDescent="0.25">
      <c r="A63" s="216"/>
      <c r="B63" s="119">
        <v>244</v>
      </c>
      <c r="C63" s="119">
        <v>226</v>
      </c>
      <c r="D63" s="5">
        <f t="shared" si="0"/>
        <v>16190</v>
      </c>
      <c r="E63" s="211">
        <v>16190</v>
      </c>
      <c r="F63" s="2"/>
    </row>
    <row r="64" spans="1:6" ht="18.75" x14ac:dyDescent="0.25">
      <c r="A64" s="115" t="s">
        <v>25</v>
      </c>
      <c r="B64" s="119">
        <v>244</v>
      </c>
      <c r="C64" s="119">
        <v>227</v>
      </c>
      <c r="D64" s="5">
        <f t="shared" si="0"/>
        <v>0</v>
      </c>
      <c r="E64" s="211">
        <v>0</v>
      </c>
      <c r="F64" s="2"/>
    </row>
    <row r="65" spans="1:6" ht="56.25" x14ac:dyDescent="0.25">
      <c r="A65" s="170" t="s">
        <v>346</v>
      </c>
      <c r="B65" s="171">
        <v>244</v>
      </c>
      <c r="C65" s="171">
        <v>228</v>
      </c>
      <c r="D65" s="5">
        <f t="shared" ref="D65" si="9">E65+F65</f>
        <v>0</v>
      </c>
      <c r="E65" s="211">
        <v>0</v>
      </c>
      <c r="F65" s="2"/>
    </row>
    <row r="66" spans="1:6" ht="37.5" x14ac:dyDescent="0.25">
      <c r="A66" s="115" t="s">
        <v>26</v>
      </c>
      <c r="B66" s="119" t="s">
        <v>5</v>
      </c>
      <c r="C66" s="119">
        <v>260</v>
      </c>
      <c r="D66" s="5">
        <f t="shared" si="0"/>
        <v>0</v>
      </c>
      <c r="E66" s="211">
        <f>E67+E68+E69+E72</f>
        <v>0</v>
      </c>
      <c r="F66" s="2">
        <f>F67+F69+F72</f>
        <v>0</v>
      </c>
    </row>
    <row r="67" spans="1:6" ht="112.5" x14ac:dyDescent="0.25">
      <c r="A67" s="115" t="s">
        <v>27</v>
      </c>
      <c r="B67" s="119">
        <v>321</v>
      </c>
      <c r="C67" s="119">
        <v>264</v>
      </c>
      <c r="D67" s="5">
        <f t="shared" si="0"/>
        <v>0</v>
      </c>
      <c r="E67" s="211">
        <v>0</v>
      </c>
      <c r="F67" s="2"/>
    </row>
    <row r="68" spans="1:6" ht="168.75" x14ac:dyDescent="0.25">
      <c r="A68" s="193" t="s">
        <v>444</v>
      </c>
      <c r="B68" s="194">
        <v>119</v>
      </c>
      <c r="C68" s="194">
        <v>265</v>
      </c>
      <c r="D68" s="5">
        <f t="shared" ref="D68" si="10">E68+F68</f>
        <v>0</v>
      </c>
      <c r="E68" s="211">
        <v>0</v>
      </c>
      <c r="F68" s="2"/>
    </row>
    <row r="69" spans="1:6" ht="93.75" x14ac:dyDescent="0.25">
      <c r="A69" s="115" t="s">
        <v>28</v>
      </c>
      <c r="B69" s="119" t="s">
        <v>5</v>
      </c>
      <c r="C69" s="119">
        <v>266</v>
      </c>
      <c r="D69" s="5">
        <f t="shared" si="0"/>
        <v>0</v>
      </c>
      <c r="E69" s="211">
        <f t="shared" ref="E69:F69" si="11">E70+E71</f>
        <v>0</v>
      </c>
      <c r="F69" s="2">
        <f t="shared" si="11"/>
        <v>0</v>
      </c>
    </row>
    <row r="70" spans="1:6" ht="18.75" x14ac:dyDescent="0.25">
      <c r="A70" s="216" t="s">
        <v>6</v>
      </c>
      <c r="B70" s="119">
        <v>111</v>
      </c>
      <c r="C70" s="119">
        <v>266</v>
      </c>
      <c r="D70" s="5">
        <f t="shared" si="0"/>
        <v>0</v>
      </c>
      <c r="E70" s="211">
        <v>0</v>
      </c>
      <c r="F70" s="2"/>
    </row>
    <row r="71" spans="1:6" ht="18.75" x14ac:dyDescent="0.25">
      <c r="A71" s="216"/>
      <c r="B71" s="119">
        <v>112</v>
      </c>
      <c r="C71" s="119">
        <v>266</v>
      </c>
      <c r="D71" s="5">
        <f t="shared" si="0"/>
        <v>0</v>
      </c>
      <c r="E71" s="211">
        <v>0</v>
      </c>
      <c r="F71" s="2"/>
    </row>
    <row r="72" spans="1:6" ht="75" x14ac:dyDescent="0.25">
      <c r="A72" s="115" t="s">
        <v>29</v>
      </c>
      <c r="B72" s="119">
        <v>112</v>
      </c>
      <c r="C72" s="119">
        <v>267</v>
      </c>
      <c r="D72" s="5">
        <f t="shared" si="0"/>
        <v>0</v>
      </c>
      <c r="E72" s="211">
        <v>0</v>
      </c>
      <c r="F72" s="2"/>
    </row>
    <row r="73" spans="1:6" ht="18.75" x14ac:dyDescent="0.25">
      <c r="A73" s="115" t="s">
        <v>30</v>
      </c>
      <c r="B73" s="119" t="s">
        <v>5</v>
      </c>
      <c r="C73" s="119">
        <v>290</v>
      </c>
      <c r="D73" s="5">
        <f t="shared" si="0"/>
        <v>3000</v>
      </c>
      <c r="E73" s="211">
        <f>E75+E79+E80+E81+E82+E89</f>
        <v>3000</v>
      </c>
      <c r="F73" s="2">
        <f>F75+F79+F80+F81+F82+F89</f>
        <v>0</v>
      </c>
    </row>
    <row r="74" spans="1:6" ht="18.75" x14ac:dyDescent="0.25">
      <c r="A74" s="115" t="s">
        <v>9</v>
      </c>
      <c r="B74" s="119"/>
      <c r="C74" s="119"/>
      <c r="D74" s="5">
        <f t="shared" si="0"/>
        <v>0</v>
      </c>
      <c r="E74" s="211"/>
      <c r="F74" s="2"/>
    </row>
    <row r="75" spans="1:6" ht="37.5" x14ac:dyDescent="0.25">
      <c r="A75" s="115" t="s">
        <v>31</v>
      </c>
      <c r="B75" s="119" t="s">
        <v>5</v>
      </c>
      <c r="C75" s="119">
        <v>291</v>
      </c>
      <c r="D75" s="5">
        <f t="shared" si="0"/>
        <v>3000</v>
      </c>
      <c r="E75" s="211">
        <f t="shared" ref="E75:F75" si="12">E76+E77+E78</f>
        <v>3000</v>
      </c>
      <c r="F75" s="2">
        <f t="shared" si="12"/>
        <v>0</v>
      </c>
    </row>
    <row r="76" spans="1:6" ht="18.75" x14ac:dyDescent="0.25">
      <c r="A76" s="216" t="s">
        <v>6</v>
      </c>
      <c r="B76" s="119">
        <v>851</v>
      </c>
      <c r="C76" s="119">
        <v>291</v>
      </c>
      <c r="D76" s="5">
        <f t="shared" si="0"/>
        <v>0</v>
      </c>
      <c r="E76" s="211">
        <v>0</v>
      </c>
      <c r="F76" s="2"/>
    </row>
    <row r="77" spans="1:6" ht="18.75" x14ac:dyDescent="0.25">
      <c r="A77" s="216"/>
      <c r="B77" s="119">
        <v>852</v>
      </c>
      <c r="C77" s="119">
        <v>291</v>
      </c>
      <c r="D77" s="5">
        <f t="shared" si="0"/>
        <v>3000</v>
      </c>
      <c r="E77" s="211">
        <f>3000</f>
        <v>3000</v>
      </c>
      <c r="F77" s="2"/>
    </row>
    <row r="78" spans="1:6" ht="18.75" x14ac:dyDescent="0.25">
      <c r="A78" s="216"/>
      <c r="B78" s="119">
        <v>853</v>
      </c>
      <c r="C78" s="119">
        <v>291</v>
      </c>
      <c r="D78" s="5">
        <f t="shared" si="0"/>
        <v>0</v>
      </c>
      <c r="E78" s="211">
        <v>0</v>
      </c>
      <c r="F78" s="2"/>
    </row>
    <row r="79" spans="1:6" ht="112.5" x14ac:dyDescent="0.25">
      <c r="A79" s="115" t="s">
        <v>32</v>
      </c>
      <c r="B79" s="119">
        <v>853</v>
      </c>
      <c r="C79" s="119">
        <v>292</v>
      </c>
      <c r="D79" s="5">
        <f t="shared" ref="D79:D111" si="13">E79+F79</f>
        <v>0</v>
      </c>
      <c r="E79" s="211">
        <v>0</v>
      </c>
      <c r="F79" s="2">
        <v>0</v>
      </c>
    </row>
    <row r="80" spans="1:6" ht="131.25" x14ac:dyDescent="0.25">
      <c r="A80" s="115" t="s">
        <v>33</v>
      </c>
      <c r="B80" s="119">
        <v>853</v>
      </c>
      <c r="C80" s="119">
        <v>293</v>
      </c>
      <c r="D80" s="5">
        <f t="shared" si="13"/>
        <v>0</v>
      </c>
      <c r="E80" s="211">
        <v>0</v>
      </c>
      <c r="F80" s="2">
        <v>0</v>
      </c>
    </row>
    <row r="81" spans="1:6" ht="56.25" x14ac:dyDescent="0.25">
      <c r="A81" s="115" t="s">
        <v>158</v>
      </c>
      <c r="B81" s="119">
        <v>853</v>
      </c>
      <c r="C81" s="119">
        <v>295</v>
      </c>
      <c r="D81" s="5">
        <f t="shared" si="13"/>
        <v>0</v>
      </c>
      <c r="E81" s="211">
        <v>0</v>
      </c>
      <c r="F81" s="2">
        <v>0</v>
      </c>
    </row>
    <row r="82" spans="1:6" ht="56.25" x14ac:dyDescent="0.25">
      <c r="A82" s="115" t="s">
        <v>34</v>
      </c>
      <c r="B82" s="119" t="s">
        <v>5</v>
      </c>
      <c r="C82" s="119">
        <v>296</v>
      </c>
      <c r="D82" s="5">
        <f>E82+F82</f>
        <v>0</v>
      </c>
      <c r="E82" s="211">
        <f>E83+E84+E85+E86+E88+E87</f>
        <v>0</v>
      </c>
      <c r="F82" s="2">
        <f t="shared" ref="F82" si="14">F83+F84+F85+F86+F88</f>
        <v>0</v>
      </c>
    </row>
    <row r="83" spans="1:6" ht="18.75" x14ac:dyDescent="0.25">
      <c r="A83" s="216" t="s">
        <v>6</v>
      </c>
      <c r="B83" s="119">
        <v>244</v>
      </c>
      <c r="C83" s="119">
        <v>296</v>
      </c>
      <c r="D83" s="5">
        <f t="shared" si="13"/>
        <v>0</v>
      </c>
      <c r="E83" s="211">
        <v>0</v>
      </c>
      <c r="F83" s="2"/>
    </row>
    <row r="84" spans="1:6" ht="18.75" x14ac:dyDescent="0.25">
      <c r="A84" s="216"/>
      <c r="B84" s="119">
        <v>340</v>
      </c>
      <c r="C84" s="119">
        <v>296</v>
      </c>
      <c r="D84" s="5">
        <f t="shared" si="13"/>
        <v>0</v>
      </c>
      <c r="E84" s="211">
        <v>0</v>
      </c>
      <c r="F84" s="2"/>
    </row>
    <row r="85" spans="1:6" ht="18.75" x14ac:dyDescent="0.25">
      <c r="A85" s="216"/>
      <c r="B85" s="119">
        <v>350</v>
      </c>
      <c r="C85" s="119">
        <v>296</v>
      </c>
      <c r="D85" s="5">
        <f t="shared" si="13"/>
        <v>0</v>
      </c>
      <c r="E85" s="211">
        <v>0</v>
      </c>
      <c r="F85" s="2"/>
    </row>
    <row r="86" spans="1:6" ht="18.75" x14ac:dyDescent="0.25">
      <c r="A86" s="216"/>
      <c r="B86" s="119">
        <v>360</v>
      </c>
      <c r="C86" s="119">
        <v>296</v>
      </c>
      <c r="D86" s="5">
        <f t="shared" si="13"/>
        <v>0</v>
      </c>
      <c r="E86" s="211">
        <v>0</v>
      </c>
      <c r="F86" s="2"/>
    </row>
    <row r="87" spans="1:6" ht="18.75" x14ac:dyDescent="0.25">
      <c r="A87" s="216"/>
      <c r="B87" s="215">
        <v>831</v>
      </c>
      <c r="C87" s="215">
        <v>296</v>
      </c>
      <c r="D87" s="5">
        <f t="shared" ref="D87" si="15">E87+F87</f>
        <v>0</v>
      </c>
      <c r="E87" s="211">
        <v>0</v>
      </c>
      <c r="F87" s="2"/>
    </row>
    <row r="88" spans="1:6" ht="18.75" x14ac:dyDescent="0.25">
      <c r="A88" s="216"/>
      <c r="B88" s="119">
        <v>853</v>
      </c>
      <c r="C88" s="119">
        <v>296</v>
      </c>
      <c r="D88" s="5">
        <f t="shared" si="13"/>
        <v>0</v>
      </c>
      <c r="E88" s="211">
        <v>0</v>
      </c>
      <c r="F88" s="2"/>
    </row>
    <row r="89" spans="1:6" ht="56.25" x14ac:dyDescent="0.25">
      <c r="A89" s="115" t="s">
        <v>35</v>
      </c>
      <c r="B89" s="119" t="s">
        <v>5</v>
      </c>
      <c r="C89" s="119">
        <v>297</v>
      </c>
      <c r="D89" s="5">
        <f>E89+F89</f>
        <v>0</v>
      </c>
      <c r="E89" s="211">
        <f>E90+E91+E92</f>
        <v>0</v>
      </c>
      <c r="F89" s="2">
        <f>F90+F91+F92</f>
        <v>0</v>
      </c>
    </row>
    <row r="90" spans="1:6" ht="18.75" x14ac:dyDescent="0.25">
      <c r="A90" s="216" t="s">
        <v>6</v>
      </c>
      <c r="B90" s="119">
        <v>244</v>
      </c>
      <c r="C90" s="119">
        <v>297</v>
      </c>
      <c r="D90" s="5">
        <f t="shared" si="13"/>
        <v>0</v>
      </c>
      <c r="E90" s="211">
        <v>0</v>
      </c>
      <c r="F90" s="2"/>
    </row>
    <row r="91" spans="1:6" ht="18.75" x14ac:dyDescent="0.25">
      <c r="A91" s="216"/>
      <c r="B91" s="192">
        <v>831</v>
      </c>
      <c r="C91" s="192">
        <v>297</v>
      </c>
      <c r="D91" s="5">
        <f t="shared" si="13"/>
        <v>0</v>
      </c>
      <c r="E91" s="211">
        <v>0</v>
      </c>
      <c r="F91" s="2"/>
    </row>
    <row r="92" spans="1:6" ht="18.75" x14ac:dyDescent="0.25">
      <c r="A92" s="216"/>
      <c r="B92" s="119">
        <v>853</v>
      </c>
      <c r="C92" s="119">
        <v>297</v>
      </c>
      <c r="D92" s="5">
        <f t="shared" si="13"/>
        <v>0</v>
      </c>
      <c r="E92" s="211">
        <v>0</v>
      </c>
      <c r="F92" s="2"/>
    </row>
    <row r="93" spans="1:6" ht="56.25" x14ac:dyDescent="0.25">
      <c r="A93" s="115" t="s">
        <v>59</v>
      </c>
      <c r="B93" s="119" t="s">
        <v>5</v>
      </c>
      <c r="C93" s="119">
        <v>300</v>
      </c>
      <c r="D93" s="5">
        <f t="shared" si="13"/>
        <v>2644165.4699999997</v>
      </c>
      <c r="E93" s="211">
        <f>E95+E97+E96</f>
        <v>2644165.4699999997</v>
      </c>
      <c r="F93" s="2">
        <f>F95+F97+F96</f>
        <v>0</v>
      </c>
    </row>
    <row r="94" spans="1:6" ht="18.75" x14ac:dyDescent="0.25">
      <c r="A94" s="115" t="s">
        <v>9</v>
      </c>
      <c r="B94" s="119"/>
      <c r="C94" s="119"/>
      <c r="D94" s="5"/>
      <c r="E94" s="211"/>
      <c r="F94" s="2"/>
    </row>
    <row r="95" spans="1:6" ht="56.25" x14ac:dyDescent="0.25">
      <c r="A95" s="115" t="s">
        <v>36</v>
      </c>
      <c r="B95" s="119">
        <v>244</v>
      </c>
      <c r="C95" s="119">
        <v>310</v>
      </c>
      <c r="D95" s="5">
        <f t="shared" si="13"/>
        <v>2506445.94</v>
      </c>
      <c r="E95" s="211">
        <f>1084965.48+1762.43+193717+4593.33-9612+1231019.7</f>
        <v>2506445.94</v>
      </c>
      <c r="F95" s="2"/>
    </row>
    <row r="96" spans="1:6" ht="75" x14ac:dyDescent="0.25">
      <c r="A96" s="115" t="s">
        <v>68</v>
      </c>
      <c r="B96" s="119">
        <v>244</v>
      </c>
      <c r="C96" s="119">
        <v>320</v>
      </c>
      <c r="D96" s="5">
        <f t="shared" si="13"/>
        <v>0</v>
      </c>
      <c r="E96" s="211">
        <v>0</v>
      </c>
      <c r="F96" s="2"/>
    </row>
    <row r="97" spans="1:6" ht="75" x14ac:dyDescent="0.25">
      <c r="A97" s="115" t="s">
        <v>60</v>
      </c>
      <c r="B97" s="119" t="s">
        <v>5</v>
      </c>
      <c r="C97" s="119">
        <v>340</v>
      </c>
      <c r="D97" s="5">
        <f t="shared" si="13"/>
        <v>137719.53</v>
      </c>
      <c r="E97" s="211">
        <f>E99+E100+E101+E102+E103+E104+E105+E106</f>
        <v>137719.53</v>
      </c>
      <c r="F97" s="2">
        <f>F99+F100+F101+F102+F103+F104+F106</f>
        <v>0</v>
      </c>
    </row>
    <row r="98" spans="1:6" ht="18.75" x14ac:dyDescent="0.25">
      <c r="A98" s="115" t="s">
        <v>6</v>
      </c>
      <c r="B98" s="119"/>
      <c r="C98" s="119"/>
      <c r="D98" s="5"/>
      <c r="E98" s="211"/>
      <c r="F98" s="2"/>
    </row>
    <row r="99" spans="1:6" ht="131.25" x14ac:dyDescent="0.25">
      <c r="A99" s="115" t="s">
        <v>37</v>
      </c>
      <c r="B99" s="119">
        <v>244</v>
      </c>
      <c r="C99" s="119">
        <v>341</v>
      </c>
      <c r="D99" s="5">
        <f t="shared" si="13"/>
        <v>0</v>
      </c>
      <c r="E99" s="211">
        <v>0</v>
      </c>
      <c r="F99" s="2"/>
    </row>
    <row r="100" spans="1:6" ht="56.25" x14ac:dyDescent="0.25">
      <c r="A100" s="115" t="s">
        <v>38</v>
      </c>
      <c r="B100" s="119">
        <v>244</v>
      </c>
      <c r="C100" s="119">
        <v>342</v>
      </c>
      <c r="D100" s="5">
        <f t="shared" si="13"/>
        <v>0</v>
      </c>
      <c r="E100" s="211">
        <v>0</v>
      </c>
      <c r="F100" s="2"/>
    </row>
    <row r="101" spans="1:6" ht="75" x14ac:dyDescent="0.25">
      <c r="A101" s="115" t="s">
        <v>39</v>
      </c>
      <c r="B101" s="119">
        <v>244</v>
      </c>
      <c r="C101" s="119">
        <v>343</v>
      </c>
      <c r="D101" s="5">
        <f t="shared" si="13"/>
        <v>0</v>
      </c>
      <c r="E101" s="211">
        <v>0</v>
      </c>
      <c r="F101" s="2"/>
    </row>
    <row r="102" spans="1:6" ht="75" x14ac:dyDescent="0.25">
      <c r="A102" s="115" t="s">
        <v>40</v>
      </c>
      <c r="B102" s="119">
        <v>244</v>
      </c>
      <c r="C102" s="119">
        <v>344</v>
      </c>
      <c r="D102" s="5">
        <f t="shared" si="13"/>
        <v>0</v>
      </c>
      <c r="E102" s="211">
        <v>0</v>
      </c>
      <c r="F102" s="2"/>
    </row>
    <row r="103" spans="1:6" ht="56.25" x14ac:dyDescent="0.25">
      <c r="A103" s="115" t="s">
        <v>41</v>
      </c>
      <c r="B103" s="119">
        <v>244</v>
      </c>
      <c r="C103" s="119">
        <v>345</v>
      </c>
      <c r="D103" s="5">
        <f t="shared" si="13"/>
        <v>0</v>
      </c>
      <c r="E103" s="211">
        <v>0</v>
      </c>
      <c r="F103" s="2"/>
    </row>
    <row r="104" spans="1:6" ht="75" x14ac:dyDescent="0.25">
      <c r="A104" s="115" t="s">
        <v>42</v>
      </c>
      <c r="B104" s="119">
        <v>244</v>
      </c>
      <c r="C104" s="119">
        <v>346</v>
      </c>
      <c r="D104" s="5">
        <f>E104+F104</f>
        <v>128107.53</v>
      </c>
      <c r="E104" s="211">
        <v>128107.53</v>
      </c>
      <c r="F104" s="2"/>
    </row>
    <row r="105" spans="1:6" ht="112.5" x14ac:dyDescent="0.25">
      <c r="A105" s="170" t="s">
        <v>347</v>
      </c>
      <c r="B105" s="171">
        <v>244</v>
      </c>
      <c r="C105" s="171">
        <v>347</v>
      </c>
      <c r="D105" s="5">
        <f>E105+F105</f>
        <v>0</v>
      </c>
      <c r="E105" s="211">
        <v>0</v>
      </c>
      <c r="F105" s="2"/>
    </row>
    <row r="106" spans="1:6" ht="112.5" x14ac:dyDescent="0.25">
      <c r="A106" s="115" t="s">
        <v>43</v>
      </c>
      <c r="B106" s="119">
        <v>244</v>
      </c>
      <c r="C106" s="119">
        <v>349</v>
      </c>
      <c r="D106" s="5">
        <f t="shared" si="13"/>
        <v>9612</v>
      </c>
      <c r="E106" s="211">
        <f>9612</f>
        <v>9612</v>
      </c>
      <c r="F106" s="2"/>
    </row>
    <row r="107" spans="1:6" ht="78" customHeight="1" x14ac:dyDescent="0.25">
      <c r="A107" s="115" t="s">
        <v>67</v>
      </c>
      <c r="B107" s="119" t="s">
        <v>5</v>
      </c>
      <c r="C107" s="119" t="s">
        <v>5</v>
      </c>
      <c r="D107" s="5">
        <f t="shared" si="13"/>
        <v>0</v>
      </c>
      <c r="E107" s="211">
        <f t="shared" ref="E107:F107" si="16">E109+E110+E111</f>
        <v>0</v>
      </c>
      <c r="F107" s="2">
        <f t="shared" si="16"/>
        <v>0</v>
      </c>
    </row>
    <row r="108" spans="1:6" ht="78" customHeight="1" x14ac:dyDescent="0.25">
      <c r="A108" s="115" t="s">
        <v>6</v>
      </c>
      <c r="B108" s="119"/>
      <c r="C108" s="119"/>
      <c r="D108" s="5"/>
      <c r="E108" s="211"/>
      <c r="F108" s="2"/>
    </row>
    <row r="109" spans="1:6" ht="78" customHeight="1" x14ac:dyDescent="0.25">
      <c r="A109" s="115" t="s">
        <v>194</v>
      </c>
      <c r="B109" s="119">
        <v>180</v>
      </c>
      <c r="C109" s="119" t="s">
        <v>5</v>
      </c>
      <c r="D109" s="5">
        <f t="shared" si="13"/>
        <v>0</v>
      </c>
      <c r="E109" s="211">
        <v>0</v>
      </c>
      <c r="F109" s="2"/>
    </row>
    <row r="110" spans="1:6" ht="78" customHeight="1" x14ac:dyDescent="0.25">
      <c r="A110" s="115" t="s">
        <v>195</v>
      </c>
      <c r="B110" s="119">
        <v>180</v>
      </c>
      <c r="C110" s="119" t="s">
        <v>5</v>
      </c>
      <c r="D110" s="5">
        <f t="shared" si="13"/>
        <v>0</v>
      </c>
      <c r="E110" s="211">
        <v>0</v>
      </c>
      <c r="F110" s="2"/>
    </row>
    <row r="111" spans="1:6" ht="78" customHeight="1" thickBot="1" x14ac:dyDescent="0.3">
      <c r="A111" s="32" t="s">
        <v>196</v>
      </c>
      <c r="B111" s="33">
        <v>180</v>
      </c>
      <c r="C111" s="33" t="s">
        <v>5</v>
      </c>
      <c r="D111" s="34">
        <f t="shared" si="13"/>
        <v>0</v>
      </c>
      <c r="E111" s="212">
        <v>0</v>
      </c>
      <c r="F111" s="35"/>
    </row>
    <row r="112" spans="1:6" ht="18.75" x14ac:dyDescent="0.25">
      <c r="A112" s="15"/>
      <c r="B112" s="19"/>
      <c r="C112" s="19"/>
      <c r="D112" s="36"/>
      <c r="E112" s="36"/>
      <c r="F112" s="36"/>
    </row>
    <row r="113" spans="1:10" x14ac:dyDescent="0.25">
      <c r="A113" s="11"/>
    </row>
    <row r="114" spans="1:10" ht="37.5" x14ac:dyDescent="0.3">
      <c r="A114" s="29" t="s">
        <v>52</v>
      </c>
      <c r="B114" s="219"/>
      <c r="C114" s="219"/>
      <c r="D114" s="10"/>
      <c r="E114" s="219" t="s">
        <v>465</v>
      </c>
      <c r="F114" s="219"/>
    </row>
    <row r="115" spans="1:10" ht="18.75" x14ac:dyDescent="0.3">
      <c r="A115" s="29"/>
      <c r="B115" s="218" t="s">
        <v>53</v>
      </c>
      <c r="C115" s="218"/>
      <c r="D115" s="10"/>
      <c r="E115" s="218" t="s">
        <v>54</v>
      </c>
      <c r="F115" s="218"/>
    </row>
    <row r="116" spans="1:10" ht="18.75" x14ac:dyDescent="0.3">
      <c r="A116" s="29"/>
      <c r="B116" s="10"/>
      <c r="C116" s="10"/>
      <c r="D116" s="10"/>
      <c r="E116" s="10"/>
      <c r="F116" s="10"/>
    </row>
    <row r="117" spans="1:10" ht="37.5" x14ac:dyDescent="0.3">
      <c r="A117" s="29" t="s">
        <v>55</v>
      </c>
      <c r="B117" s="219"/>
      <c r="C117" s="219"/>
      <c r="D117" s="10"/>
      <c r="E117" s="219" t="s">
        <v>341</v>
      </c>
      <c r="F117" s="219"/>
    </row>
    <row r="118" spans="1:10" ht="18.75" x14ac:dyDescent="0.3">
      <c r="A118" s="29"/>
      <c r="B118" s="218" t="s">
        <v>53</v>
      </c>
      <c r="C118" s="218"/>
      <c r="D118" s="10"/>
      <c r="E118" s="218" t="s">
        <v>54</v>
      </c>
      <c r="F118" s="218"/>
    </row>
    <row r="119" spans="1:10" ht="18.75" x14ac:dyDescent="0.3">
      <c r="A119" s="29"/>
      <c r="B119" s="116"/>
      <c r="C119" s="116"/>
      <c r="D119" s="10"/>
      <c r="E119" s="116"/>
      <c r="F119" s="116"/>
    </row>
    <row r="120" spans="1:10" ht="18.75" x14ac:dyDescent="0.3">
      <c r="A120" s="29" t="s">
        <v>56</v>
      </c>
      <c r="B120" s="219"/>
      <c r="C120" s="219"/>
      <c r="D120" s="10"/>
      <c r="E120" s="219" t="s">
        <v>341</v>
      </c>
      <c r="F120" s="219"/>
    </row>
    <row r="121" spans="1:10" ht="18.75" x14ac:dyDescent="0.3">
      <c r="A121" s="29"/>
      <c r="B121" s="218" t="s">
        <v>53</v>
      </c>
      <c r="C121" s="218"/>
      <c r="D121" s="10"/>
      <c r="E121" s="218" t="s">
        <v>54</v>
      </c>
      <c r="F121" s="218"/>
    </row>
    <row r="122" spans="1:10" ht="18.75" x14ac:dyDescent="0.3">
      <c r="A122" s="29" t="s">
        <v>57</v>
      </c>
      <c r="B122" s="10"/>
      <c r="C122" s="10"/>
      <c r="D122" s="10"/>
      <c r="E122" s="10"/>
      <c r="F122" s="10"/>
    </row>
    <row r="123" spans="1:10" ht="18.75" x14ac:dyDescent="0.3">
      <c r="A123" s="217" t="s">
        <v>44</v>
      </c>
      <c r="B123" s="217"/>
      <c r="C123" s="10"/>
      <c r="D123" s="10"/>
      <c r="E123" s="10"/>
      <c r="F123" s="10"/>
    </row>
    <row r="124" spans="1:10" ht="18.75" x14ac:dyDescent="0.25">
      <c r="A124" s="220" t="s">
        <v>192</v>
      </c>
      <c r="B124" s="220"/>
      <c r="C124" s="220"/>
      <c r="D124" s="220"/>
      <c r="E124" s="220"/>
      <c r="F124" s="220"/>
    </row>
    <row r="125" spans="1:10" ht="45" x14ac:dyDescent="0.25">
      <c r="A125" s="54" t="s">
        <v>235</v>
      </c>
      <c r="B125" s="58" t="s">
        <v>5</v>
      </c>
      <c r="C125" s="58" t="s">
        <v>5</v>
      </c>
      <c r="D125" s="5">
        <f t="shared" ref="D125:D126" si="17">E125+F125</f>
        <v>0</v>
      </c>
      <c r="E125" s="2"/>
      <c r="F125" s="4"/>
      <c r="H125" s="71" t="s">
        <v>230</v>
      </c>
      <c r="I125" s="71" t="s">
        <v>231</v>
      </c>
      <c r="J125" s="71" t="s">
        <v>232</v>
      </c>
    </row>
    <row r="126" spans="1:10" ht="18.75" x14ac:dyDescent="0.25">
      <c r="A126" s="54" t="s">
        <v>7</v>
      </c>
      <c r="B126" s="58" t="s">
        <v>5</v>
      </c>
      <c r="C126" s="58">
        <v>900</v>
      </c>
      <c r="D126" s="5">
        <f t="shared" si="17"/>
        <v>2670915.4699999997</v>
      </c>
      <c r="E126" s="2">
        <f>E129+E159+E174+E204</f>
        <v>2670915.4699999997</v>
      </c>
      <c r="F126" s="2">
        <f>F129+F159</f>
        <v>0</v>
      </c>
      <c r="H126" s="72">
        <f>E31+E32+E33+E35+E41+E59+E60+E61+E67+E70+E71+E72+E76+E77+E78+E79+E80+E81+E84+E85+E86+E88+E92</f>
        <v>1166433.6299999999</v>
      </c>
      <c r="I126" s="72">
        <f>H126+D126</f>
        <v>3837349.0999999996</v>
      </c>
      <c r="J126" s="72">
        <f>I126-E25</f>
        <v>0</v>
      </c>
    </row>
    <row r="127" spans="1:10" ht="18.75" x14ac:dyDescent="0.25">
      <c r="A127" s="54" t="s">
        <v>6</v>
      </c>
      <c r="B127" s="58"/>
      <c r="C127" s="58"/>
      <c r="D127" s="5"/>
      <c r="E127" s="2"/>
      <c r="F127" s="4"/>
    </row>
    <row r="128" spans="1:10" ht="18.75" x14ac:dyDescent="0.25">
      <c r="A128" s="221" t="s">
        <v>200</v>
      </c>
      <c r="B128" s="222"/>
      <c r="C128" s="222"/>
      <c r="D128" s="222"/>
      <c r="E128" s="222"/>
      <c r="F128" s="223"/>
    </row>
    <row r="129" spans="1:6" ht="18.75" x14ac:dyDescent="0.25">
      <c r="A129" s="54" t="s">
        <v>8</v>
      </c>
      <c r="B129" s="58" t="s">
        <v>5</v>
      </c>
      <c r="C129" s="58">
        <v>200</v>
      </c>
      <c r="D129" s="5">
        <f t="shared" ref="D129:D162" si="18">E129+F129</f>
        <v>0</v>
      </c>
      <c r="E129" s="2">
        <f>E131+E134+E155</f>
        <v>0</v>
      </c>
      <c r="F129" s="2">
        <f>F131+F134+F155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75" x14ac:dyDescent="0.25">
      <c r="A131" s="54" t="s">
        <v>10</v>
      </c>
      <c r="B131" s="58" t="s">
        <v>5</v>
      </c>
      <c r="C131" s="58">
        <v>210</v>
      </c>
      <c r="D131" s="5">
        <f t="shared" si="18"/>
        <v>0</v>
      </c>
      <c r="E131" s="2">
        <f>E133</f>
        <v>0</v>
      </c>
      <c r="F131" s="2">
        <f>F133</f>
        <v>0</v>
      </c>
    </row>
    <row r="132" spans="1:6" ht="18.75" x14ac:dyDescent="0.25">
      <c r="A132" s="54" t="s">
        <v>9</v>
      </c>
      <c r="B132" s="58"/>
      <c r="C132" s="58"/>
      <c r="D132" s="5"/>
      <c r="E132" s="2"/>
      <c r="F132" s="2"/>
    </row>
    <row r="133" spans="1:6" ht="93.75" x14ac:dyDescent="0.25">
      <c r="A133" s="54" t="s">
        <v>201</v>
      </c>
      <c r="B133" s="58">
        <v>244</v>
      </c>
      <c r="C133" s="58">
        <v>214</v>
      </c>
      <c r="D133" s="5">
        <f>E133+F133</f>
        <v>0</v>
      </c>
      <c r="E133" s="2"/>
      <c r="F133" s="2"/>
    </row>
    <row r="134" spans="1:6" ht="37.5" x14ac:dyDescent="0.25">
      <c r="A134" s="54" t="s">
        <v>14</v>
      </c>
      <c r="B134" s="58" t="s">
        <v>5</v>
      </c>
      <c r="C134" s="58">
        <v>220</v>
      </c>
      <c r="D134" s="5">
        <f t="shared" si="18"/>
        <v>0</v>
      </c>
      <c r="E134" s="2">
        <f>E136+E137+E138+E146+E147+E150+E153+E154</f>
        <v>0</v>
      </c>
      <c r="F134" s="2">
        <f>F136+F137+F138+F146+F147+F150+F153</f>
        <v>0</v>
      </c>
    </row>
    <row r="135" spans="1:6" ht="18.75" x14ac:dyDescent="0.25">
      <c r="A135" s="54" t="s">
        <v>9</v>
      </c>
      <c r="B135" s="58"/>
      <c r="C135" s="58"/>
      <c r="D135" s="5"/>
      <c r="E135" s="2"/>
      <c r="F135" s="2"/>
    </row>
    <row r="136" spans="1:6" ht="18.75" x14ac:dyDescent="0.25">
      <c r="A136" s="54" t="s">
        <v>15</v>
      </c>
      <c r="B136" s="58">
        <v>244</v>
      </c>
      <c r="C136" s="58">
        <v>221</v>
      </c>
      <c r="D136" s="5">
        <f t="shared" si="18"/>
        <v>0</v>
      </c>
      <c r="E136" s="2"/>
      <c r="F136" s="2"/>
    </row>
    <row r="137" spans="1:6" ht="37.5" x14ac:dyDescent="0.25">
      <c r="A137" s="54" t="s">
        <v>16</v>
      </c>
      <c r="B137" s="58">
        <v>244</v>
      </c>
      <c r="C137" s="58">
        <v>222</v>
      </c>
      <c r="D137" s="5">
        <f t="shared" si="18"/>
        <v>0</v>
      </c>
      <c r="E137" s="2"/>
      <c r="F137" s="2"/>
    </row>
    <row r="138" spans="1:6" ht="37.5" x14ac:dyDescent="0.25">
      <c r="A138" s="54" t="s">
        <v>17</v>
      </c>
      <c r="B138" s="58" t="s">
        <v>5</v>
      </c>
      <c r="C138" s="58">
        <v>223</v>
      </c>
      <c r="D138" s="5">
        <f t="shared" si="18"/>
        <v>0</v>
      </c>
      <c r="E138" s="2">
        <f t="shared" ref="E138:F138" si="19">E140+E141+E142+E143+E144</f>
        <v>0</v>
      </c>
      <c r="F138" s="2">
        <f t="shared" si="19"/>
        <v>0</v>
      </c>
    </row>
    <row r="139" spans="1:6" ht="18.75" x14ac:dyDescent="0.25">
      <c r="A139" s="54" t="s">
        <v>6</v>
      </c>
      <c r="B139" s="58"/>
      <c r="C139" s="58"/>
      <c r="D139" s="5"/>
      <c r="E139" s="2"/>
      <c r="F139" s="2"/>
    </row>
    <row r="140" spans="1:6" ht="56.25" x14ac:dyDescent="0.25">
      <c r="A140" s="54" t="s">
        <v>18</v>
      </c>
      <c r="B140" s="58">
        <v>244</v>
      </c>
      <c r="C140" s="58">
        <v>223</v>
      </c>
      <c r="D140" s="5">
        <f t="shared" si="18"/>
        <v>0</v>
      </c>
      <c r="E140" s="2"/>
      <c r="F140" s="2"/>
    </row>
    <row r="141" spans="1:6" ht="37.5" x14ac:dyDescent="0.25">
      <c r="A141" s="54" t="s">
        <v>19</v>
      </c>
      <c r="B141" s="58">
        <v>244</v>
      </c>
      <c r="C141" s="58">
        <v>223</v>
      </c>
      <c r="D141" s="5">
        <f t="shared" si="18"/>
        <v>0</v>
      </c>
      <c r="E141" s="2"/>
      <c r="F141" s="2"/>
    </row>
    <row r="142" spans="1:6" ht="75" x14ac:dyDescent="0.25">
      <c r="A142" s="54" t="s">
        <v>20</v>
      </c>
      <c r="B142" s="58">
        <v>244</v>
      </c>
      <c r="C142" s="58">
        <v>223</v>
      </c>
      <c r="D142" s="5">
        <f t="shared" si="18"/>
        <v>0</v>
      </c>
      <c r="E142" s="2"/>
      <c r="F142" s="2"/>
    </row>
    <row r="143" spans="1:6" ht="75" x14ac:dyDescent="0.25">
      <c r="A143" s="54" t="s">
        <v>21</v>
      </c>
      <c r="B143" s="58">
        <v>244</v>
      </c>
      <c r="C143" s="58">
        <v>223</v>
      </c>
      <c r="D143" s="5">
        <f t="shared" si="18"/>
        <v>0</v>
      </c>
      <c r="E143" s="2"/>
      <c r="F143" s="2"/>
    </row>
    <row r="144" spans="1:6" ht="56.25" x14ac:dyDescent="0.25">
      <c r="A144" s="54" t="s">
        <v>22</v>
      </c>
      <c r="B144" s="58">
        <v>244</v>
      </c>
      <c r="C144" s="58">
        <v>223</v>
      </c>
      <c r="D144" s="5">
        <f t="shared" si="18"/>
        <v>0</v>
      </c>
      <c r="E144" s="2"/>
      <c r="F144" s="2"/>
    </row>
    <row r="145" spans="1:6" ht="56.25" x14ac:dyDescent="0.25">
      <c r="A145" s="195" t="s">
        <v>446</v>
      </c>
      <c r="B145" s="196">
        <v>244</v>
      </c>
      <c r="C145" s="196">
        <v>223</v>
      </c>
      <c r="D145" s="5">
        <f t="shared" ref="D145" si="20">E145+F145</f>
        <v>0</v>
      </c>
      <c r="E145" s="2"/>
      <c r="F145" s="2"/>
    </row>
    <row r="146" spans="1:6" ht="168.75" x14ac:dyDescent="0.25">
      <c r="A146" s="54" t="s">
        <v>23</v>
      </c>
      <c r="B146" s="58">
        <v>244</v>
      </c>
      <c r="C146" s="58">
        <v>224</v>
      </c>
      <c r="D146" s="5">
        <f t="shared" si="18"/>
        <v>0</v>
      </c>
      <c r="E146" s="2"/>
      <c r="F146" s="2"/>
    </row>
    <row r="147" spans="1:6" ht="56.25" x14ac:dyDescent="0.25">
      <c r="A147" s="54" t="s">
        <v>24</v>
      </c>
      <c r="B147" s="58" t="s">
        <v>5</v>
      </c>
      <c r="C147" s="58">
        <v>225</v>
      </c>
      <c r="D147" s="2">
        <f t="shared" ref="D147:F147" si="21">D148+D149</f>
        <v>0</v>
      </c>
      <c r="E147" s="2">
        <f>E148+E149</f>
        <v>0</v>
      </c>
      <c r="F147" s="2">
        <f t="shared" si="21"/>
        <v>0</v>
      </c>
    </row>
    <row r="148" spans="1:6" ht="18.75" x14ac:dyDescent="0.25">
      <c r="A148" s="216" t="s">
        <v>6</v>
      </c>
      <c r="B148" s="58">
        <v>243</v>
      </c>
      <c r="C148" s="58">
        <v>225</v>
      </c>
      <c r="D148" s="5">
        <f t="shared" si="18"/>
        <v>0</v>
      </c>
      <c r="E148" s="2"/>
      <c r="F148" s="2"/>
    </row>
    <row r="149" spans="1:6" ht="18.75" x14ac:dyDescent="0.25">
      <c r="A149" s="216"/>
      <c r="B149" s="58">
        <v>244</v>
      </c>
      <c r="C149" s="58">
        <v>225</v>
      </c>
      <c r="D149" s="5">
        <f t="shared" si="18"/>
        <v>0</v>
      </c>
      <c r="E149" s="2"/>
      <c r="F149" s="2"/>
    </row>
    <row r="150" spans="1:6" ht="37.5" x14ac:dyDescent="0.25">
      <c r="A150" s="54" t="s">
        <v>58</v>
      </c>
      <c r="B150" s="58" t="s">
        <v>5</v>
      </c>
      <c r="C150" s="58">
        <v>226</v>
      </c>
      <c r="D150" s="5">
        <f t="shared" si="18"/>
        <v>0</v>
      </c>
      <c r="E150" s="2">
        <f>E151+E152</f>
        <v>0</v>
      </c>
      <c r="F150" s="2">
        <f>F151+F152</f>
        <v>0</v>
      </c>
    </row>
    <row r="151" spans="1:6" ht="18.75" x14ac:dyDescent="0.25">
      <c r="A151" s="216" t="s">
        <v>6</v>
      </c>
      <c r="B151" s="58">
        <v>243</v>
      </c>
      <c r="C151" s="58">
        <v>226</v>
      </c>
      <c r="D151" s="5">
        <f t="shared" si="18"/>
        <v>0</v>
      </c>
      <c r="E151" s="2"/>
      <c r="F151" s="2"/>
    </row>
    <row r="152" spans="1:6" ht="18.75" x14ac:dyDescent="0.25">
      <c r="A152" s="216"/>
      <c r="B152" s="58">
        <v>244</v>
      </c>
      <c r="C152" s="58">
        <v>226</v>
      </c>
      <c r="D152" s="5">
        <f t="shared" si="18"/>
        <v>0</v>
      </c>
      <c r="E152" s="2"/>
      <c r="F152" s="2"/>
    </row>
    <row r="153" spans="1:6" ht="18.75" x14ac:dyDescent="0.25">
      <c r="A153" s="54" t="s">
        <v>25</v>
      </c>
      <c r="B153" s="58">
        <v>244</v>
      </c>
      <c r="C153" s="58">
        <v>227</v>
      </c>
      <c r="D153" s="5">
        <f>E153+F153</f>
        <v>0</v>
      </c>
      <c r="E153" s="2"/>
      <c r="F153" s="2"/>
    </row>
    <row r="154" spans="1:6" ht="56.25" x14ac:dyDescent="0.25">
      <c r="A154" s="170" t="s">
        <v>346</v>
      </c>
      <c r="B154" s="171">
        <v>244</v>
      </c>
      <c r="C154" s="171">
        <v>228</v>
      </c>
      <c r="D154" s="5">
        <f>E154+F154</f>
        <v>0</v>
      </c>
      <c r="E154" s="2"/>
      <c r="F154" s="2"/>
    </row>
    <row r="155" spans="1:6" ht="18.75" x14ac:dyDescent="0.25">
      <c r="A155" s="54" t="s">
        <v>30</v>
      </c>
      <c r="B155" s="58" t="s">
        <v>5</v>
      </c>
      <c r="C155" s="58">
        <v>290</v>
      </c>
      <c r="D155" s="5">
        <f t="shared" si="18"/>
        <v>0</v>
      </c>
      <c r="E155" s="2">
        <f>E157+E158</f>
        <v>0</v>
      </c>
      <c r="F155" s="2">
        <f>F157+F158</f>
        <v>0</v>
      </c>
    </row>
    <row r="156" spans="1:6" ht="18.75" x14ac:dyDescent="0.25">
      <c r="A156" s="54" t="s">
        <v>9</v>
      </c>
      <c r="B156" s="58"/>
      <c r="C156" s="58"/>
      <c r="D156" s="5">
        <f t="shared" si="18"/>
        <v>0</v>
      </c>
      <c r="E156" s="2"/>
      <c r="F156" s="2"/>
    </row>
    <row r="157" spans="1:6" ht="56.25" x14ac:dyDescent="0.25">
      <c r="A157" s="54" t="s">
        <v>34</v>
      </c>
      <c r="B157" s="58">
        <v>244</v>
      </c>
      <c r="C157" s="58">
        <v>296</v>
      </c>
      <c r="D157" s="5">
        <f t="shared" si="18"/>
        <v>0</v>
      </c>
      <c r="E157" s="2"/>
      <c r="F157" s="2"/>
    </row>
    <row r="158" spans="1:6" ht="56.25" x14ac:dyDescent="0.25">
      <c r="A158" s="54" t="s">
        <v>35</v>
      </c>
      <c r="B158" s="58">
        <v>244</v>
      </c>
      <c r="C158" s="58">
        <v>297</v>
      </c>
      <c r="D158" s="5">
        <f t="shared" si="18"/>
        <v>0</v>
      </c>
      <c r="E158" s="2"/>
      <c r="F158" s="2"/>
    </row>
    <row r="159" spans="1:6" ht="56.25" x14ac:dyDescent="0.25">
      <c r="A159" s="54" t="s">
        <v>59</v>
      </c>
      <c r="B159" s="58" t="s">
        <v>5</v>
      </c>
      <c r="C159" s="58">
        <v>300</v>
      </c>
      <c r="D159" s="5">
        <f t="shared" si="18"/>
        <v>0</v>
      </c>
      <c r="E159" s="2">
        <f>E161+E163+E162</f>
        <v>0</v>
      </c>
      <c r="F159" s="2">
        <f>F161+F163+F162</f>
        <v>0</v>
      </c>
    </row>
    <row r="160" spans="1:6" ht="18.75" x14ac:dyDescent="0.25">
      <c r="A160" s="54" t="s">
        <v>9</v>
      </c>
      <c r="B160" s="58"/>
      <c r="C160" s="58"/>
      <c r="D160" s="5"/>
      <c r="E160" s="2"/>
      <c r="F160" s="2"/>
    </row>
    <row r="161" spans="1:6" ht="56.25" x14ac:dyDescent="0.25">
      <c r="A161" s="54" t="s">
        <v>36</v>
      </c>
      <c r="B161" s="58">
        <v>244</v>
      </c>
      <c r="C161" s="58">
        <v>310</v>
      </c>
      <c r="D161" s="5">
        <f t="shared" si="18"/>
        <v>0</v>
      </c>
      <c r="E161" s="2"/>
      <c r="F161" s="2"/>
    </row>
    <row r="162" spans="1:6" ht="75" x14ac:dyDescent="0.25">
      <c r="A162" s="54" t="s">
        <v>68</v>
      </c>
      <c r="B162" s="58">
        <v>244</v>
      </c>
      <c r="C162" s="58">
        <v>320</v>
      </c>
      <c r="D162" s="5">
        <f t="shared" si="18"/>
        <v>0</v>
      </c>
      <c r="E162" s="2"/>
      <c r="F162" s="2"/>
    </row>
    <row r="163" spans="1:6" ht="75" x14ac:dyDescent="0.25">
      <c r="A163" s="54" t="s">
        <v>60</v>
      </c>
      <c r="B163" s="58" t="s">
        <v>5</v>
      </c>
      <c r="C163" s="58">
        <v>340</v>
      </c>
      <c r="D163" s="5">
        <f>E163+F163</f>
        <v>0</v>
      </c>
      <c r="E163" s="2">
        <f>E165+E166+E167+E168+E169+E170+E171+E172</f>
        <v>0</v>
      </c>
      <c r="F163" s="2">
        <f>F165+F166+F167+F168+F169+F170+F172</f>
        <v>0</v>
      </c>
    </row>
    <row r="164" spans="1:6" ht="18.75" x14ac:dyDescent="0.25">
      <c r="A164" s="54" t="s">
        <v>6</v>
      </c>
      <c r="B164" s="58"/>
      <c r="C164" s="58"/>
      <c r="D164" s="5"/>
      <c r="E164" s="2"/>
      <c r="F164" s="2"/>
    </row>
    <row r="165" spans="1:6" ht="131.25" x14ac:dyDescent="0.25">
      <c r="A165" s="54" t="s">
        <v>37</v>
      </c>
      <c r="B165" s="58">
        <v>244</v>
      </c>
      <c r="C165" s="58">
        <v>341</v>
      </c>
      <c r="D165" s="5">
        <f t="shared" ref="D165:D172" si="22">E165+F165</f>
        <v>0</v>
      </c>
      <c r="E165" s="2"/>
      <c r="F165" s="2"/>
    </row>
    <row r="166" spans="1:6" ht="56.25" x14ac:dyDescent="0.25">
      <c r="A166" s="54" t="s">
        <v>38</v>
      </c>
      <c r="B166" s="58">
        <v>244</v>
      </c>
      <c r="C166" s="58">
        <v>342</v>
      </c>
      <c r="D166" s="5">
        <f t="shared" si="22"/>
        <v>0</v>
      </c>
      <c r="E166" s="2"/>
      <c r="F166" s="2"/>
    </row>
    <row r="167" spans="1:6" ht="75" x14ac:dyDescent="0.25">
      <c r="A167" s="54" t="s">
        <v>39</v>
      </c>
      <c r="B167" s="58">
        <v>244</v>
      </c>
      <c r="C167" s="58">
        <v>343</v>
      </c>
      <c r="D167" s="5">
        <f t="shared" si="22"/>
        <v>0</v>
      </c>
      <c r="E167" s="2"/>
      <c r="F167" s="2"/>
    </row>
    <row r="168" spans="1:6" ht="75" x14ac:dyDescent="0.25">
      <c r="A168" s="54" t="s">
        <v>40</v>
      </c>
      <c r="B168" s="58">
        <v>244</v>
      </c>
      <c r="C168" s="58">
        <v>344</v>
      </c>
      <c r="D168" s="5">
        <f t="shared" si="22"/>
        <v>0</v>
      </c>
      <c r="E168" s="2"/>
      <c r="F168" s="2"/>
    </row>
    <row r="169" spans="1:6" ht="56.25" x14ac:dyDescent="0.25">
      <c r="A169" s="54" t="s">
        <v>41</v>
      </c>
      <c r="B169" s="58">
        <v>244</v>
      </c>
      <c r="C169" s="58">
        <v>345</v>
      </c>
      <c r="D169" s="5">
        <f t="shared" si="22"/>
        <v>0</v>
      </c>
      <c r="E169" s="2"/>
      <c r="F169" s="2"/>
    </row>
    <row r="170" spans="1:6" ht="75" x14ac:dyDescent="0.25">
      <c r="A170" s="54" t="s">
        <v>42</v>
      </c>
      <c r="B170" s="58">
        <v>244</v>
      </c>
      <c r="C170" s="58">
        <v>346</v>
      </c>
      <c r="D170" s="5">
        <f t="shared" si="22"/>
        <v>0</v>
      </c>
      <c r="E170" s="2"/>
      <c r="F170" s="2"/>
    </row>
    <row r="171" spans="1:6" ht="112.5" x14ac:dyDescent="0.25">
      <c r="A171" s="170" t="s">
        <v>347</v>
      </c>
      <c r="B171" s="171">
        <v>244</v>
      </c>
      <c r="C171" s="171">
        <v>347</v>
      </c>
      <c r="D171" s="5">
        <f t="shared" si="22"/>
        <v>0</v>
      </c>
      <c r="E171" s="2"/>
      <c r="F171" s="2"/>
    </row>
    <row r="172" spans="1:6" ht="112.5" x14ac:dyDescent="0.25">
      <c r="A172" s="54" t="s">
        <v>43</v>
      </c>
      <c r="B172" s="58">
        <v>244</v>
      </c>
      <c r="C172" s="58">
        <v>349</v>
      </c>
      <c r="D172" s="5">
        <f t="shared" si="22"/>
        <v>0</v>
      </c>
      <c r="E172" s="2"/>
      <c r="F172" s="2"/>
    </row>
    <row r="173" spans="1:6" ht="18.75" x14ac:dyDescent="0.25">
      <c r="A173" s="221" t="s">
        <v>202</v>
      </c>
      <c r="B173" s="222"/>
      <c r="C173" s="222"/>
      <c r="D173" s="222"/>
      <c r="E173" s="222"/>
      <c r="F173" s="223"/>
    </row>
    <row r="174" spans="1:6" ht="18.75" x14ac:dyDescent="0.25">
      <c r="A174" s="54" t="s">
        <v>8</v>
      </c>
      <c r="B174" s="58" t="s">
        <v>5</v>
      </c>
      <c r="C174" s="58">
        <v>200</v>
      </c>
      <c r="D174" s="5">
        <f t="shared" ref="D174" si="23">E174+F174</f>
        <v>26750</v>
      </c>
      <c r="E174" s="2">
        <f>E176+E179+E200</f>
        <v>26750</v>
      </c>
      <c r="F174" s="2">
        <f>F176+F179+F200</f>
        <v>0</v>
      </c>
    </row>
    <row r="175" spans="1:6" ht="18.75" x14ac:dyDescent="0.25">
      <c r="A175" s="54" t="s">
        <v>9</v>
      </c>
      <c r="B175" s="58"/>
      <c r="C175" s="58"/>
      <c r="D175" s="5"/>
      <c r="E175" s="2"/>
      <c r="F175" s="2"/>
    </row>
    <row r="176" spans="1:6" ht="75" x14ac:dyDescent="0.25">
      <c r="A176" s="54" t="s">
        <v>10</v>
      </c>
      <c r="B176" s="58" t="s">
        <v>5</v>
      </c>
      <c r="C176" s="58">
        <v>210</v>
      </c>
      <c r="D176" s="5">
        <f t="shared" ref="D176" si="24">E176+F176</f>
        <v>0</v>
      </c>
      <c r="E176" s="2">
        <f>E178</f>
        <v>0</v>
      </c>
      <c r="F176" s="2">
        <f>F178</f>
        <v>0</v>
      </c>
    </row>
    <row r="177" spans="1:6" ht="18.75" x14ac:dyDescent="0.25">
      <c r="A177" s="54" t="s">
        <v>9</v>
      </c>
      <c r="B177" s="58"/>
      <c r="C177" s="58"/>
      <c r="D177" s="5"/>
      <c r="E177" s="2"/>
      <c r="F177" s="2"/>
    </row>
    <row r="178" spans="1:6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E36-E133</f>
        <v>0</v>
      </c>
      <c r="F178" s="2"/>
    </row>
    <row r="179" spans="1:6" ht="37.5" x14ac:dyDescent="0.25">
      <c r="A179" s="54" t="s">
        <v>14</v>
      </c>
      <c r="B179" s="58" t="s">
        <v>5</v>
      </c>
      <c r="C179" s="58">
        <v>220</v>
      </c>
      <c r="D179" s="5">
        <f t="shared" ref="D179" si="25">E179+F179</f>
        <v>26750</v>
      </c>
      <c r="E179" s="2">
        <f>E181+E182+E183+E191+E192+E195+E198</f>
        <v>26750</v>
      </c>
      <c r="F179" s="2">
        <f>F181+F182+F183+F191+F192+F195+F198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18.75" x14ac:dyDescent="0.25">
      <c r="A181" s="54" t="s">
        <v>15</v>
      </c>
      <c r="B181" s="58">
        <v>244</v>
      </c>
      <c r="C181" s="58">
        <v>221</v>
      </c>
      <c r="D181" s="5">
        <f t="shared" ref="D181:D183" si="26">E181+F181</f>
        <v>0</v>
      </c>
      <c r="E181" s="2">
        <f>E39-E136</f>
        <v>0</v>
      </c>
      <c r="F181" s="2"/>
    </row>
    <row r="182" spans="1:6" ht="37.5" x14ac:dyDescent="0.25">
      <c r="A182" s="54" t="s">
        <v>16</v>
      </c>
      <c r="B182" s="58">
        <v>244</v>
      </c>
      <c r="C182" s="58">
        <v>222</v>
      </c>
      <c r="D182" s="5">
        <f t="shared" si="26"/>
        <v>0</v>
      </c>
      <c r="E182" s="70">
        <f>E42-E137</f>
        <v>0</v>
      </c>
      <c r="F182" s="2"/>
    </row>
    <row r="183" spans="1:6" ht="37.5" x14ac:dyDescent="0.25">
      <c r="A183" s="54" t="s">
        <v>17</v>
      </c>
      <c r="B183" s="58" t="s">
        <v>5</v>
      </c>
      <c r="C183" s="58">
        <v>223</v>
      </c>
      <c r="D183" s="5">
        <f t="shared" si="26"/>
        <v>0</v>
      </c>
      <c r="E183" s="2">
        <f t="shared" ref="E183:F183" si="27">E185+E186+E187+E188+E189</f>
        <v>0</v>
      </c>
      <c r="F183" s="2">
        <f t="shared" si="27"/>
        <v>0</v>
      </c>
    </row>
    <row r="184" spans="1:6" ht="18.75" x14ac:dyDescent="0.25">
      <c r="A184" s="54" t="s">
        <v>6</v>
      </c>
      <c r="B184" s="58"/>
      <c r="C184" s="58"/>
      <c r="D184" s="5"/>
      <c r="E184" s="2"/>
      <c r="F184" s="2"/>
    </row>
    <row r="185" spans="1:6" ht="56.25" x14ac:dyDescent="0.25">
      <c r="A185" s="54" t="s">
        <v>18</v>
      </c>
      <c r="B185" s="58">
        <v>244</v>
      </c>
      <c r="C185" s="58">
        <v>223</v>
      </c>
      <c r="D185" s="5">
        <f t="shared" ref="D185:D191" si="28">E185+F185</f>
        <v>0</v>
      </c>
      <c r="E185" s="2">
        <f>E46-E140</f>
        <v>0</v>
      </c>
      <c r="F185" s="2"/>
    </row>
    <row r="186" spans="1:6" ht="37.5" x14ac:dyDescent="0.25">
      <c r="A186" s="54" t="s">
        <v>19</v>
      </c>
      <c r="B186" s="58">
        <v>244</v>
      </c>
      <c r="C186" s="58">
        <v>223</v>
      </c>
      <c r="D186" s="5">
        <f t="shared" si="28"/>
        <v>0</v>
      </c>
      <c r="E186" s="2">
        <f>E48-E141</f>
        <v>0</v>
      </c>
      <c r="F186" s="2"/>
    </row>
    <row r="187" spans="1:6" ht="75" x14ac:dyDescent="0.25">
      <c r="A187" s="54" t="s">
        <v>20</v>
      </c>
      <c r="B187" s="58">
        <v>244</v>
      </c>
      <c r="C187" s="58">
        <v>223</v>
      </c>
      <c r="D187" s="5">
        <f t="shared" si="28"/>
        <v>0</v>
      </c>
      <c r="E187" s="2">
        <f>E50-E142</f>
        <v>0</v>
      </c>
      <c r="F187" s="2"/>
    </row>
    <row r="188" spans="1:6" ht="75" x14ac:dyDescent="0.25">
      <c r="A188" s="54" t="s">
        <v>21</v>
      </c>
      <c r="B188" s="58">
        <v>244</v>
      </c>
      <c r="C188" s="58">
        <v>223</v>
      </c>
      <c r="D188" s="5">
        <f t="shared" si="28"/>
        <v>0</v>
      </c>
      <c r="E188" s="2">
        <f>E51-E143</f>
        <v>0</v>
      </c>
      <c r="F188" s="2"/>
    </row>
    <row r="189" spans="1:6" ht="56.25" x14ac:dyDescent="0.25">
      <c r="A189" s="54" t="s">
        <v>22</v>
      </c>
      <c r="B189" s="58">
        <v>244</v>
      </c>
      <c r="C189" s="58">
        <v>223</v>
      </c>
      <c r="D189" s="5">
        <f t="shared" si="28"/>
        <v>0</v>
      </c>
      <c r="E189" s="2">
        <f>E52-E144</f>
        <v>0</v>
      </c>
      <c r="F189" s="2"/>
    </row>
    <row r="190" spans="1:6" ht="56.25" x14ac:dyDescent="0.25">
      <c r="A190" s="195" t="s">
        <v>446</v>
      </c>
      <c r="B190" s="196">
        <v>244</v>
      </c>
      <c r="C190" s="196">
        <v>223</v>
      </c>
      <c r="D190" s="5">
        <f t="shared" ref="D190" si="29">E190+F190</f>
        <v>0</v>
      </c>
      <c r="E190" s="2">
        <f>E53-E145</f>
        <v>0</v>
      </c>
      <c r="F190" s="2"/>
    </row>
    <row r="191" spans="1:6" ht="168.75" x14ac:dyDescent="0.25">
      <c r="A191" s="54" t="s">
        <v>23</v>
      </c>
      <c r="B191" s="58">
        <v>244</v>
      </c>
      <c r="C191" s="58">
        <v>224</v>
      </c>
      <c r="D191" s="5">
        <f t="shared" si="28"/>
        <v>0</v>
      </c>
      <c r="E191" s="2">
        <f>E54-E146</f>
        <v>0</v>
      </c>
      <c r="F191" s="2"/>
    </row>
    <row r="192" spans="1:6" ht="56.25" x14ac:dyDescent="0.25">
      <c r="A192" s="54" t="s">
        <v>24</v>
      </c>
      <c r="B192" s="58" t="s">
        <v>5</v>
      </c>
      <c r="C192" s="58">
        <v>225</v>
      </c>
      <c r="D192" s="2">
        <f t="shared" ref="D192" si="30">D193+D194</f>
        <v>10560</v>
      </c>
      <c r="E192" s="2">
        <f>E193+E194</f>
        <v>10560</v>
      </c>
      <c r="F192" s="2">
        <f t="shared" ref="F192" si="31">F193+F194</f>
        <v>0</v>
      </c>
    </row>
    <row r="193" spans="1:6" ht="18.75" x14ac:dyDescent="0.25">
      <c r="A193" s="216" t="s">
        <v>6</v>
      </c>
      <c r="B193" s="58">
        <v>243</v>
      </c>
      <c r="C193" s="58">
        <v>225</v>
      </c>
      <c r="D193" s="5">
        <f t="shared" ref="D193:D204" si="32">E193+F193</f>
        <v>0</v>
      </c>
      <c r="E193" s="2">
        <f>E56-E148</f>
        <v>0</v>
      </c>
      <c r="F193" s="2"/>
    </row>
    <row r="194" spans="1:6" ht="18.75" x14ac:dyDescent="0.25">
      <c r="A194" s="216"/>
      <c r="B194" s="58">
        <v>244</v>
      </c>
      <c r="C194" s="58">
        <v>225</v>
      </c>
      <c r="D194" s="5">
        <f t="shared" si="32"/>
        <v>10560</v>
      </c>
      <c r="E194" s="2">
        <f>E57-E149</f>
        <v>10560</v>
      </c>
      <c r="F194" s="2"/>
    </row>
    <row r="195" spans="1:6" ht="37.5" x14ac:dyDescent="0.25">
      <c r="A195" s="54" t="s">
        <v>58</v>
      </c>
      <c r="B195" s="58" t="s">
        <v>5</v>
      </c>
      <c r="C195" s="58">
        <v>226</v>
      </c>
      <c r="D195" s="5">
        <f t="shared" si="32"/>
        <v>16190</v>
      </c>
      <c r="E195" s="2">
        <f>E196+E197</f>
        <v>16190</v>
      </c>
      <c r="F195" s="2">
        <f>F196+F197</f>
        <v>0</v>
      </c>
    </row>
    <row r="196" spans="1:6" ht="18.75" x14ac:dyDescent="0.25">
      <c r="A196" s="216" t="s">
        <v>6</v>
      </c>
      <c r="B196" s="58">
        <v>243</v>
      </c>
      <c r="C196" s="58">
        <v>226</v>
      </c>
      <c r="D196" s="5">
        <f t="shared" si="32"/>
        <v>0</v>
      </c>
      <c r="E196" s="2">
        <f>E62-E151</f>
        <v>0</v>
      </c>
      <c r="F196" s="2"/>
    </row>
    <row r="197" spans="1:6" ht="18.75" x14ac:dyDescent="0.25">
      <c r="A197" s="216"/>
      <c r="B197" s="58">
        <v>244</v>
      </c>
      <c r="C197" s="58">
        <v>226</v>
      </c>
      <c r="D197" s="5">
        <f t="shared" si="32"/>
        <v>16190</v>
      </c>
      <c r="E197" s="2">
        <f>E63-E152</f>
        <v>16190</v>
      </c>
      <c r="F197" s="2"/>
    </row>
    <row r="198" spans="1:6" ht="18.75" x14ac:dyDescent="0.25">
      <c r="A198" s="54" t="s">
        <v>25</v>
      </c>
      <c r="B198" s="58">
        <v>244</v>
      </c>
      <c r="C198" s="58">
        <v>227</v>
      </c>
      <c r="D198" s="5">
        <f t="shared" si="32"/>
        <v>0</v>
      </c>
      <c r="E198" s="2">
        <f>E64-E153</f>
        <v>0</v>
      </c>
      <c r="F198" s="2"/>
    </row>
    <row r="199" spans="1:6" ht="56.25" x14ac:dyDescent="0.25">
      <c r="A199" s="170" t="s">
        <v>346</v>
      </c>
      <c r="B199" s="171">
        <v>244</v>
      </c>
      <c r="C199" s="171">
        <v>228</v>
      </c>
      <c r="D199" s="5">
        <f>E199+F199</f>
        <v>0</v>
      </c>
      <c r="E199" s="2">
        <f>E65-E154</f>
        <v>0</v>
      </c>
      <c r="F199" s="2"/>
    </row>
    <row r="200" spans="1:6" ht="18.75" x14ac:dyDescent="0.25">
      <c r="A200" s="54" t="s">
        <v>30</v>
      </c>
      <c r="B200" s="58" t="s">
        <v>5</v>
      </c>
      <c r="C200" s="58">
        <v>290</v>
      </c>
      <c r="D200" s="5">
        <f t="shared" si="32"/>
        <v>0</v>
      </c>
      <c r="E200" s="2">
        <f>E202+E203</f>
        <v>0</v>
      </c>
      <c r="F200" s="2">
        <f>F202+F203</f>
        <v>0</v>
      </c>
    </row>
    <row r="201" spans="1:6" ht="18.75" x14ac:dyDescent="0.25">
      <c r="A201" s="54" t="s">
        <v>9</v>
      </c>
      <c r="B201" s="58"/>
      <c r="C201" s="58"/>
      <c r="D201" s="5">
        <f t="shared" si="32"/>
        <v>0</v>
      </c>
      <c r="E201" s="2"/>
      <c r="F201" s="2"/>
    </row>
    <row r="202" spans="1:6" ht="56.25" x14ac:dyDescent="0.25">
      <c r="A202" s="54" t="s">
        <v>34</v>
      </c>
      <c r="B202" s="58">
        <v>244</v>
      </c>
      <c r="C202" s="58">
        <v>296</v>
      </c>
      <c r="D202" s="5">
        <f t="shared" si="32"/>
        <v>0</v>
      </c>
      <c r="E202" s="2">
        <f>E83-E157</f>
        <v>0</v>
      </c>
      <c r="F202" s="2"/>
    </row>
    <row r="203" spans="1:6" ht="56.25" x14ac:dyDescent="0.25">
      <c r="A203" s="54" t="s">
        <v>35</v>
      </c>
      <c r="B203" s="58">
        <v>244</v>
      </c>
      <c r="C203" s="58">
        <v>297</v>
      </c>
      <c r="D203" s="5">
        <f t="shared" si="32"/>
        <v>0</v>
      </c>
      <c r="E203" s="2">
        <f>E90-E158</f>
        <v>0</v>
      </c>
      <c r="F203" s="2"/>
    </row>
    <row r="204" spans="1:6" ht="56.25" x14ac:dyDescent="0.25">
      <c r="A204" s="54" t="s">
        <v>59</v>
      </c>
      <c r="B204" s="58" t="s">
        <v>5</v>
      </c>
      <c r="C204" s="58">
        <v>300</v>
      </c>
      <c r="D204" s="5">
        <f t="shared" si="32"/>
        <v>2644165.4699999997</v>
      </c>
      <c r="E204" s="2">
        <f>E206+E208+E207</f>
        <v>2644165.4699999997</v>
      </c>
      <c r="F204" s="2">
        <f>F206+F208+F207</f>
        <v>0</v>
      </c>
    </row>
    <row r="205" spans="1:6" ht="18.75" x14ac:dyDescent="0.25">
      <c r="A205" s="54" t="s">
        <v>9</v>
      </c>
      <c r="B205" s="58"/>
      <c r="C205" s="58"/>
      <c r="D205" s="5"/>
      <c r="E205" s="2"/>
      <c r="F205" s="2"/>
    </row>
    <row r="206" spans="1:6" ht="56.25" x14ac:dyDescent="0.25">
      <c r="A206" s="54" t="s">
        <v>36</v>
      </c>
      <c r="B206" s="58">
        <v>244</v>
      </c>
      <c r="C206" s="58">
        <v>310</v>
      </c>
      <c r="D206" s="5">
        <f t="shared" ref="D206:D208" si="33">E206+F206</f>
        <v>2506445.94</v>
      </c>
      <c r="E206" s="2">
        <f>E95-E161</f>
        <v>2506445.94</v>
      </c>
      <c r="F206" s="2"/>
    </row>
    <row r="207" spans="1:6" ht="75" x14ac:dyDescent="0.25">
      <c r="A207" s="54" t="s">
        <v>68</v>
      </c>
      <c r="B207" s="58">
        <v>244</v>
      </c>
      <c r="C207" s="58">
        <v>320</v>
      </c>
      <c r="D207" s="5">
        <f t="shared" si="33"/>
        <v>0</v>
      </c>
      <c r="E207" s="2">
        <f>E96-E162</f>
        <v>0</v>
      </c>
      <c r="F207" s="2"/>
    </row>
    <row r="208" spans="1:6" ht="75" x14ac:dyDescent="0.25">
      <c r="A208" s="54" t="s">
        <v>60</v>
      </c>
      <c r="B208" s="58" t="s">
        <v>5</v>
      </c>
      <c r="C208" s="58">
        <v>340</v>
      </c>
      <c r="D208" s="5">
        <f t="shared" si="33"/>
        <v>137719.53</v>
      </c>
      <c r="E208" s="2">
        <f>E210+E211+E212+E213+E214+E215+E217</f>
        <v>137719.53</v>
      </c>
      <c r="F208" s="2">
        <f>F210+F211+F212+F213+F214+F215+F217</f>
        <v>0</v>
      </c>
    </row>
    <row r="209" spans="1:6" ht="18.75" x14ac:dyDescent="0.25">
      <c r="A209" s="54" t="s">
        <v>6</v>
      </c>
      <c r="B209" s="58"/>
      <c r="C209" s="58"/>
      <c r="D209" s="5"/>
      <c r="E209" s="2"/>
      <c r="F209" s="2"/>
    </row>
    <row r="210" spans="1:6" ht="131.25" x14ac:dyDescent="0.25">
      <c r="A210" s="54" t="s">
        <v>37</v>
      </c>
      <c r="B210" s="58">
        <v>244</v>
      </c>
      <c r="C210" s="58">
        <v>341</v>
      </c>
      <c r="D210" s="5">
        <f t="shared" ref="D210:D217" si="34">E210+F210</f>
        <v>0</v>
      </c>
      <c r="E210" s="2">
        <f t="shared" ref="E210:E216" si="35">E99-E165</f>
        <v>0</v>
      </c>
      <c r="F210" s="2"/>
    </row>
    <row r="211" spans="1:6" ht="56.25" x14ac:dyDescent="0.25">
      <c r="A211" s="54" t="s">
        <v>38</v>
      </c>
      <c r="B211" s="58">
        <v>244</v>
      </c>
      <c r="C211" s="58">
        <v>342</v>
      </c>
      <c r="D211" s="5">
        <f t="shared" si="34"/>
        <v>0</v>
      </c>
      <c r="E211" s="2">
        <f t="shared" si="35"/>
        <v>0</v>
      </c>
      <c r="F211" s="2"/>
    </row>
    <row r="212" spans="1:6" ht="75" x14ac:dyDescent="0.25">
      <c r="A212" s="54" t="s">
        <v>39</v>
      </c>
      <c r="B212" s="58">
        <v>244</v>
      </c>
      <c r="C212" s="58">
        <v>343</v>
      </c>
      <c r="D212" s="5">
        <f t="shared" si="34"/>
        <v>0</v>
      </c>
      <c r="E212" s="2">
        <f t="shared" si="35"/>
        <v>0</v>
      </c>
      <c r="F212" s="2"/>
    </row>
    <row r="213" spans="1:6" ht="75" x14ac:dyDescent="0.25">
      <c r="A213" s="54" t="s">
        <v>40</v>
      </c>
      <c r="B213" s="58">
        <v>244</v>
      </c>
      <c r="C213" s="58">
        <v>344</v>
      </c>
      <c r="D213" s="5">
        <f t="shared" si="34"/>
        <v>0</v>
      </c>
      <c r="E213" s="2">
        <f t="shared" si="35"/>
        <v>0</v>
      </c>
      <c r="F213" s="2"/>
    </row>
    <row r="214" spans="1:6" ht="56.25" x14ac:dyDescent="0.25">
      <c r="A214" s="54" t="s">
        <v>41</v>
      </c>
      <c r="B214" s="58">
        <v>244</v>
      </c>
      <c r="C214" s="58">
        <v>345</v>
      </c>
      <c r="D214" s="5">
        <f t="shared" si="34"/>
        <v>0</v>
      </c>
      <c r="E214" s="2">
        <f t="shared" si="35"/>
        <v>0</v>
      </c>
      <c r="F214" s="2"/>
    </row>
    <row r="215" spans="1:6" ht="75" x14ac:dyDescent="0.25">
      <c r="A215" s="54" t="s">
        <v>42</v>
      </c>
      <c r="B215" s="58">
        <v>244</v>
      </c>
      <c r="C215" s="58">
        <v>346</v>
      </c>
      <c r="D215" s="5">
        <f t="shared" si="34"/>
        <v>128107.53</v>
      </c>
      <c r="E215" s="2">
        <f t="shared" si="35"/>
        <v>128107.53</v>
      </c>
      <c r="F215" s="2"/>
    </row>
    <row r="216" spans="1:6" ht="112.5" x14ac:dyDescent="0.25">
      <c r="A216" s="170" t="s">
        <v>347</v>
      </c>
      <c r="B216" s="171">
        <v>244</v>
      </c>
      <c r="C216" s="171">
        <v>347</v>
      </c>
      <c r="D216" s="5">
        <f t="shared" ref="D216" si="36">E216+F216</f>
        <v>0</v>
      </c>
      <c r="E216" s="2">
        <f t="shared" si="35"/>
        <v>0</v>
      </c>
      <c r="F216" s="2"/>
    </row>
    <row r="217" spans="1:6" ht="112.5" x14ac:dyDescent="0.25">
      <c r="A217" s="54" t="s">
        <v>43</v>
      </c>
      <c r="B217" s="58">
        <v>244</v>
      </c>
      <c r="C217" s="58">
        <v>349</v>
      </c>
      <c r="D217" s="5">
        <f t="shared" si="34"/>
        <v>9612</v>
      </c>
      <c r="E217" s="2">
        <f t="shared" ref="E217" si="37">E106-E172</f>
        <v>9612</v>
      </c>
      <c r="F217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18:C118"/>
    <mergeCell ref="E118:F118"/>
    <mergeCell ref="A76:A78"/>
    <mergeCell ref="A83:A88"/>
    <mergeCell ref="A90:A92"/>
    <mergeCell ref="B114:C114"/>
    <mergeCell ref="E114:F114"/>
    <mergeCell ref="B117:C117"/>
    <mergeCell ref="E117:F117"/>
    <mergeCell ref="B115:C115"/>
    <mergeCell ref="E115:F115"/>
    <mergeCell ref="A35:A36"/>
    <mergeCell ref="A41:A42"/>
    <mergeCell ref="A56:A57"/>
    <mergeCell ref="A59:A63"/>
    <mergeCell ref="A70:A71"/>
    <mergeCell ref="B120:C120"/>
    <mergeCell ref="E120:F120"/>
    <mergeCell ref="B121:C121"/>
    <mergeCell ref="E121:F121"/>
    <mergeCell ref="A123:B123"/>
    <mergeCell ref="A193:A194"/>
    <mergeCell ref="A196:A197"/>
    <mergeCell ref="A124:F124"/>
    <mergeCell ref="A128:F128"/>
    <mergeCell ref="A148:A149"/>
    <mergeCell ref="A151:A152"/>
    <mergeCell ref="A173:F173"/>
  </mergeCells>
  <pageMargins left="1.3779527559055118" right="0.39370078740157483" top="0.98425196850393704" bottom="0.78740157480314965" header="0.31496062992125984" footer="0.31496062992125984"/>
  <pageSetup paperSize="9" scale="75" orientation="portrait" r:id="rId1"/>
  <rowBreaks count="1" manualBreakCount="1">
    <brk id="10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97" zoomScaleNormal="100" zoomScaleSheetLayoutView="100" workbookViewId="0">
      <selection activeCell="E104" sqref="E104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2" t="s">
        <v>262</v>
      </c>
      <c r="B1" s="232"/>
      <c r="C1" s="232"/>
      <c r="D1" s="232"/>
      <c r="E1" s="232"/>
      <c r="F1" s="232"/>
    </row>
    <row r="2" spans="1:6" ht="18.75" x14ac:dyDescent="0.25">
      <c r="A2" s="232" t="s">
        <v>471</v>
      </c>
      <c r="B2" s="232"/>
      <c r="C2" s="232"/>
      <c r="D2" s="232"/>
      <c r="E2" s="232"/>
      <c r="F2" s="232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197</v>
      </c>
      <c r="F5" s="236"/>
    </row>
    <row r="6" spans="1:6" ht="15.75" x14ac:dyDescent="0.25">
      <c r="A6" s="238"/>
      <c r="B6" s="237"/>
      <c r="C6" s="239"/>
      <c r="D6" s="237"/>
      <c r="E6" s="240" t="s">
        <v>6</v>
      </c>
      <c r="F6" s="241"/>
    </row>
    <row r="7" spans="1:6" ht="221.25" thickBot="1" x14ac:dyDescent="0.3">
      <c r="A7" s="225"/>
      <c r="B7" s="227"/>
      <c r="C7" s="229"/>
      <c r="D7" s="227"/>
      <c r="E7" s="120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37.5" x14ac:dyDescent="0.25">
      <c r="A9" s="121" t="s">
        <v>236</v>
      </c>
      <c r="B9" s="123" t="s">
        <v>5</v>
      </c>
      <c r="C9" s="123" t="s">
        <v>5</v>
      </c>
      <c r="D9" s="5">
        <f t="shared" ref="D9:D10" si="0">E9+F9</f>
        <v>2670915.4699999997</v>
      </c>
      <c r="E9" s="2">
        <f>E10</f>
        <v>2670915.4699999997</v>
      </c>
      <c r="F9" s="4"/>
    </row>
    <row r="10" spans="1:6" ht="18.75" x14ac:dyDescent="0.25">
      <c r="A10" s="121" t="s">
        <v>7</v>
      </c>
      <c r="B10" s="123" t="s">
        <v>5</v>
      </c>
      <c r="C10" s="123">
        <v>900</v>
      </c>
      <c r="D10" s="5">
        <f t="shared" si="0"/>
        <v>2670915.4699999997</v>
      </c>
      <c r="E10" s="2">
        <f>E13+E46+E61+E91</f>
        <v>2670915.4699999997</v>
      </c>
      <c r="F10" s="2">
        <f>F13+F46+F61+F91</f>
        <v>0</v>
      </c>
    </row>
    <row r="11" spans="1:6" ht="18.75" x14ac:dyDescent="0.25">
      <c r="A11" s="121" t="s">
        <v>6</v>
      </c>
      <c r="B11" s="123"/>
      <c r="C11" s="123"/>
      <c r="D11" s="5"/>
      <c r="E11" s="2"/>
      <c r="F11" s="4"/>
    </row>
    <row r="12" spans="1:6" ht="33.6" customHeight="1" x14ac:dyDescent="0.25">
      <c r="A12" s="233" t="s">
        <v>200</v>
      </c>
      <c r="B12" s="234"/>
      <c r="C12" s="234"/>
      <c r="D12" s="234"/>
      <c r="E12" s="234"/>
      <c r="F12" s="235"/>
    </row>
    <row r="13" spans="1:6" ht="18.75" x14ac:dyDescent="0.25">
      <c r="A13" s="121" t="s">
        <v>8</v>
      </c>
      <c r="B13" s="123" t="s">
        <v>5</v>
      </c>
      <c r="C13" s="123">
        <v>200</v>
      </c>
      <c r="D13" s="5">
        <f t="shared" ref="D13:D50" si="1">E13+F13</f>
        <v>0</v>
      </c>
      <c r="E13" s="2">
        <f>E15+E18+E42</f>
        <v>0</v>
      </c>
      <c r="F13" s="2">
        <f>F15+F18+F42</f>
        <v>0</v>
      </c>
    </row>
    <row r="14" spans="1:6" ht="14.45" customHeight="1" x14ac:dyDescent="0.25">
      <c r="A14" s="121" t="s">
        <v>9</v>
      </c>
      <c r="B14" s="123"/>
      <c r="C14" s="123"/>
      <c r="D14" s="5"/>
      <c r="E14" s="2"/>
      <c r="F14" s="2"/>
    </row>
    <row r="15" spans="1:6" ht="75" x14ac:dyDescent="0.25">
      <c r="A15" s="121" t="s">
        <v>10</v>
      </c>
      <c r="B15" s="123" t="s">
        <v>5</v>
      </c>
      <c r="C15" s="123">
        <v>210</v>
      </c>
      <c r="D15" s="5">
        <f t="shared" si="1"/>
        <v>0</v>
      </c>
      <c r="E15" s="2">
        <f>E17</f>
        <v>0</v>
      </c>
      <c r="F15" s="2">
        <f>F17</f>
        <v>0</v>
      </c>
    </row>
    <row r="16" spans="1:6" ht="18.75" x14ac:dyDescent="0.25">
      <c r="A16" s="121" t="s">
        <v>9</v>
      </c>
      <c r="B16" s="123"/>
      <c r="C16" s="123"/>
      <c r="D16" s="5"/>
      <c r="E16" s="2"/>
      <c r="F16" s="2"/>
    </row>
    <row r="17" spans="1:6" ht="93.75" x14ac:dyDescent="0.25">
      <c r="A17" s="121" t="s">
        <v>201</v>
      </c>
      <c r="B17" s="123">
        <v>244</v>
      </c>
      <c r="C17" s="123">
        <v>214</v>
      </c>
      <c r="D17" s="5">
        <f>E17+F17</f>
        <v>0</v>
      </c>
      <c r="E17" s="2">
        <f>'платные на 2022 год '!E133</f>
        <v>0</v>
      </c>
      <c r="F17" s="2"/>
    </row>
    <row r="18" spans="1:6" ht="37.5" x14ac:dyDescent="0.25">
      <c r="A18" s="121" t="s">
        <v>14</v>
      </c>
      <c r="B18" s="123" t="s">
        <v>5</v>
      </c>
      <c r="C18" s="123">
        <v>220</v>
      </c>
      <c r="D18" s="5">
        <f t="shared" si="1"/>
        <v>0</v>
      </c>
      <c r="E18" s="2">
        <f>E20+E21+E22+E33+E34+E37+E40+E41</f>
        <v>0</v>
      </c>
      <c r="F18" s="2">
        <f>F20+F21+F22+F33+F34+F37+F40</f>
        <v>0</v>
      </c>
    </row>
    <row r="19" spans="1:6" ht="18.75" x14ac:dyDescent="0.25">
      <c r="A19" s="121" t="s">
        <v>9</v>
      </c>
      <c r="B19" s="123"/>
      <c r="C19" s="123"/>
      <c r="D19" s="5"/>
      <c r="E19" s="2"/>
      <c r="F19" s="2"/>
    </row>
    <row r="20" spans="1:6" ht="18.75" x14ac:dyDescent="0.25">
      <c r="A20" s="121" t="s">
        <v>15</v>
      </c>
      <c r="B20" s="123">
        <v>244</v>
      </c>
      <c r="C20" s="123">
        <v>221</v>
      </c>
      <c r="D20" s="5">
        <f t="shared" si="1"/>
        <v>0</v>
      </c>
      <c r="E20" s="2">
        <f>'платные на 2022 год '!E136</f>
        <v>0</v>
      </c>
      <c r="F20" s="2"/>
    </row>
    <row r="21" spans="1:6" ht="37.5" x14ac:dyDescent="0.25">
      <c r="A21" s="121" t="s">
        <v>16</v>
      </c>
      <c r="B21" s="123">
        <v>244</v>
      </c>
      <c r="C21" s="123">
        <v>222</v>
      </c>
      <c r="D21" s="5">
        <f t="shared" si="1"/>
        <v>0</v>
      </c>
      <c r="E21" s="2">
        <f>'платные на 2022 год '!E137</f>
        <v>0</v>
      </c>
      <c r="F21" s="2"/>
    </row>
    <row r="22" spans="1:6" ht="37.5" x14ac:dyDescent="0.25">
      <c r="A22" s="121" t="s">
        <v>17</v>
      </c>
      <c r="B22" s="123" t="s">
        <v>5</v>
      </c>
      <c r="C22" s="123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121" t="s">
        <v>6</v>
      </c>
      <c r="B23" s="123"/>
      <c r="C23" s="123"/>
      <c r="D23" s="5"/>
      <c r="E23" s="2"/>
      <c r="F23" s="2"/>
    </row>
    <row r="24" spans="1:6" ht="56.25" x14ac:dyDescent="0.25">
      <c r="A24" s="190" t="s">
        <v>18</v>
      </c>
      <c r="B24" s="191">
        <v>244</v>
      </c>
      <c r="C24" s="191">
        <v>223</v>
      </c>
      <c r="D24" s="5">
        <f t="shared" ref="D24" si="3">E24+F24</f>
        <v>0</v>
      </c>
      <c r="E24" s="2">
        <f>'платные на 2022 год '!E139</f>
        <v>0</v>
      </c>
      <c r="F24" s="2"/>
    </row>
    <row r="25" spans="1:6" ht="56.25" x14ac:dyDescent="0.25">
      <c r="A25" s="121" t="s">
        <v>18</v>
      </c>
      <c r="B25" s="123">
        <v>247</v>
      </c>
      <c r="C25" s="123">
        <v>223</v>
      </c>
      <c r="D25" s="5">
        <f t="shared" si="1"/>
        <v>0</v>
      </c>
      <c r="E25" s="2">
        <f>'платные на 2022 год '!E140</f>
        <v>0</v>
      </c>
      <c r="F25" s="2"/>
    </row>
    <row r="26" spans="1:6" ht="37.5" x14ac:dyDescent="0.25">
      <c r="A26" s="190" t="s">
        <v>19</v>
      </c>
      <c r="B26" s="191">
        <v>244</v>
      </c>
      <c r="C26" s="191">
        <v>223</v>
      </c>
      <c r="D26" s="5">
        <f t="shared" ref="D26" si="4">E26+F26</f>
        <v>0</v>
      </c>
      <c r="E26" s="2">
        <f>'платные на 2022 год '!E140</f>
        <v>0</v>
      </c>
      <c r="F26" s="2"/>
    </row>
    <row r="27" spans="1:6" ht="37.5" x14ac:dyDescent="0.25">
      <c r="A27" s="121" t="s">
        <v>19</v>
      </c>
      <c r="B27" s="123">
        <v>247</v>
      </c>
      <c r="C27" s="123">
        <v>223</v>
      </c>
      <c r="D27" s="5">
        <f t="shared" si="1"/>
        <v>0</v>
      </c>
      <c r="E27" s="2">
        <f>'платные на 2022 год '!E141</f>
        <v>0</v>
      </c>
      <c r="F27" s="2"/>
    </row>
    <row r="28" spans="1:6" ht="75" x14ac:dyDescent="0.25">
      <c r="A28" s="190" t="s">
        <v>20</v>
      </c>
      <c r="B28" s="191">
        <v>244</v>
      </c>
      <c r="C28" s="191">
        <v>223</v>
      </c>
      <c r="D28" s="5">
        <f t="shared" ref="D28" si="5">E28+F28</f>
        <v>0</v>
      </c>
      <c r="E28" s="2">
        <f>'платные на 2022 год '!E141</f>
        <v>0</v>
      </c>
      <c r="F28" s="2"/>
    </row>
    <row r="29" spans="1:6" ht="75" x14ac:dyDescent="0.25">
      <c r="A29" s="121" t="s">
        <v>20</v>
      </c>
      <c r="B29" s="123">
        <v>247</v>
      </c>
      <c r="C29" s="123">
        <v>223</v>
      </c>
      <c r="D29" s="5">
        <f t="shared" si="1"/>
        <v>0</v>
      </c>
      <c r="E29" s="2">
        <f>'платные на 2022 год '!E142</f>
        <v>0</v>
      </c>
      <c r="F29" s="2"/>
    </row>
    <row r="30" spans="1:6" ht="75" x14ac:dyDescent="0.25">
      <c r="A30" s="121" t="s">
        <v>21</v>
      </c>
      <c r="B30" s="123">
        <v>244</v>
      </c>
      <c r="C30" s="123">
        <v>223</v>
      </c>
      <c r="D30" s="5">
        <f t="shared" si="1"/>
        <v>0</v>
      </c>
      <c r="E30" s="2">
        <f>'платные на 2022 год '!E143</f>
        <v>0</v>
      </c>
      <c r="F30" s="2"/>
    </row>
    <row r="31" spans="1:6" ht="56.25" x14ac:dyDescent="0.25">
      <c r="A31" s="121" t="s">
        <v>22</v>
      </c>
      <c r="B31" s="123">
        <v>244</v>
      </c>
      <c r="C31" s="123">
        <v>223</v>
      </c>
      <c r="D31" s="5">
        <f t="shared" si="1"/>
        <v>0</v>
      </c>
      <c r="E31" s="2">
        <f>'платные на 2022 год '!E144</f>
        <v>0</v>
      </c>
      <c r="F31" s="2"/>
    </row>
    <row r="32" spans="1:6" ht="56.25" x14ac:dyDescent="0.25">
      <c r="A32" s="195" t="s">
        <v>446</v>
      </c>
      <c r="B32" s="196">
        <v>244</v>
      </c>
      <c r="C32" s="196">
        <v>223</v>
      </c>
      <c r="D32" s="5">
        <f t="shared" ref="D32" si="6">E32+F32</f>
        <v>0</v>
      </c>
      <c r="E32" s="2">
        <f>'платные на 2022 год '!E145</f>
        <v>0</v>
      </c>
      <c r="F32" s="2"/>
    </row>
    <row r="33" spans="1:6" ht="168.75" x14ac:dyDescent="0.25">
      <c r="A33" s="121" t="s">
        <v>23</v>
      </c>
      <c r="B33" s="123">
        <v>244</v>
      </c>
      <c r="C33" s="123">
        <v>224</v>
      </c>
      <c r="D33" s="5">
        <f t="shared" si="1"/>
        <v>0</v>
      </c>
      <c r="E33" s="2">
        <f>'платные на 2022 год '!E146</f>
        <v>0</v>
      </c>
      <c r="F33" s="2"/>
    </row>
    <row r="34" spans="1:6" ht="56.25" x14ac:dyDescent="0.25">
      <c r="A34" s="121" t="s">
        <v>24</v>
      </c>
      <c r="B34" s="123" t="s">
        <v>5</v>
      </c>
      <c r="C34" s="123">
        <v>225</v>
      </c>
      <c r="D34" s="2">
        <f t="shared" ref="D34:F34" si="7">D35+D36</f>
        <v>0</v>
      </c>
      <c r="E34" s="2">
        <f>E35+E36</f>
        <v>0</v>
      </c>
      <c r="F34" s="2">
        <f t="shared" si="7"/>
        <v>0</v>
      </c>
    </row>
    <row r="35" spans="1:6" ht="18.75" x14ac:dyDescent="0.25">
      <c r="A35" s="216" t="s">
        <v>6</v>
      </c>
      <c r="B35" s="123">
        <v>243</v>
      </c>
      <c r="C35" s="123">
        <v>225</v>
      </c>
      <c r="D35" s="5">
        <f t="shared" si="1"/>
        <v>0</v>
      </c>
      <c r="E35" s="2">
        <f>'платные на 2022 год '!E148</f>
        <v>0</v>
      </c>
      <c r="F35" s="2"/>
    </row>
    <row r="36" spans="1:6" ht="18.75" x14ac:dyDescent="0.25">
      <c r="A36" s="216"/>
      <c r="B36" s="123">
        <v>244</v>
      </c>
      <c r="C36" s="123">
        <v>225</v>
      </c>
      <c r="D36" s="5">
        <f t="shared" si="1"/>
        <v>0</v>
      </c>
      <c r="E36" s="2">
        <f>'платные на 2022 год '!E149</f>
        <v>0</v>
      </c>
      <c r="F36" s="2"/>
    </row>
    <row r="37" spans="1:6" ht="37.5" x14ac:dyDescent="0.25">
      <c r="A37" s="121" t="s">
        <v>58</v>
      </c>
      <c r="B37" s="123" t="s">
        <v>5</v>
      </c>
      <c r="C37" s="123">
        <v>226</v>
      </c>
      <c r="D37" s="5">
        <f t="shared" si="1"/>
        <v>0</v>
      </c>
      <c r="E37" s="2">
        <f>E38+E39</f>
        <v>0</v>
      </c>
      <c r="F37" s="2">
        <f>F38+F39</f>
        <v>0</v>
      </c>
    </row>
    <row r="38" spans="1:6" ht="18.75" x14ac:dyDescent="0.25">
      <c r="A38" s="216" t="s">
        <v>6</v>
      </c>
      <c r="B38" s="123">
        <v>243</v>
      </c>
      <c r="C38" s="123">
        <v>226</v>
      </c>
      <c r="D38" s="5">
        <f t="shared" si="1"/>
        <v>0</v>
      </c>
      <c r="E38" s="2">
        <f>'платные на 2022 год '!E151</f>
        <v>0</v>
      </c>
      <c r="F38" s="2"/>
    </row>
    <row r="39" spans="1:6" ht="18.75" x14ac:dyDescent="0.25">
      <c r="A39" s="216"/>
      <c r="B39" s="123">
        <v>244</v>
      </c>
      <c r="C39" s="123">
        <v>226</v>
      </c>
      <c r="D39" s="5">
        <f t="shared" si="1"/>
        <v>0</v>
      </c>
      <c r="E39" s="2">
        <f>'платные на 2022 год '!E152</f>
        <v>0</v>
      </c>
      <c r="F39" s="2"/>
    </row>
    <row r="40" spans="1:6" ht="18.75" x14ac:dyDescent="0.25">
      <c r="A40" s="121" t="s">
        <v>25</v>
      </c>
      <c r="B40" s="123">
        <v>244</v>
      </c>
      <c r="C40" s="123">
        <v>227</v>
      </c>
      <c r="D40" s="5">
        <f t="shared" si="1"/>
        <v>0</v>
      </c>
      <c r="E40" s="2">
        <f>'платные на 2022 год '!E153</f>
        <v>0</v>
      </c>
      <c r="F40" s="2"/>
    </row>
    <row r="41" spans="1:6" ht="56.25" x14ac:dyDescent="0.25">
      <c r="A41" s="170" t="s">
        <v>346</v>
      </c>
      <c r="B41" s="171">
        <v>244</v>
      </c>
      <c r="C41" s="171">
        <v>228</v>
      </c>
      <c r="D41" s="5">
        <f t="shared" ref="D41" si="8">E41+F41</f>
        <v>0</v>
      </c>
      <c r="E41" s="2">
        <f>'платные на 2022 год '!E154</f>
        <v>0</v>
      </c>
      <c r="F41" s="2"/>
    </row>
    <row r="42" spans="1:6" ht="18.75" x14ac:dyDescent="0.25">
      <c r="A42" s="121" t="s">
        <v>30</v>
      </c>
      <c r="B42" s="123" t="s">
        <v>5</v>
      </c>
      <c r="C42" s="123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121" t="s">
        <v>9</v>
      </c>
      <c r="B43" s="123"/>
      <c r="C43" s="123"/>
      <c r="D43" s="5">
        <f t="shared" si="1"/>
        <v>0</v>
      </c>
      <c r="E43" s="2"/>
      <c r="F43" s="2"/>
    </row>
    <row r="44" spans="1:6" ht="56.25" x14ac:dyDescent="0.25">
      <c r="A44" s="121" t="s">
        <v>34</v>
      </c>
      <c r="B44" s="123">
        <v>244</v>
      </c>
      <c r="C44" s="123">
        <v>296</v>
      </c>
      <c r="D44" s="5">
        <f t="shared" si="1"/>
        <v>0</v>
      </c>
      <c r="E44" s="2">
        <f>'платные на 2022 год '!E157</f>
        <v>0</v>
      </c>
      <c r="F44" s="2"/>
    </row>
    <row r="45" spans="1:6" ht="56.25" x14ac:dyDescent="0.25">
      <c r="A45" s="121" t="s">
        <v>35</v>
      </c>
      <c r="B45" s="123">
        <v>244</v>
      </c>
      <c r="C45" s="123">
        <v>297</v>
      </c>
      <c r="D45" s="5">
        <f t="shared" si="1"/>
        <v>0</v>
      </c>
      <c r="E45" s="2">
        <f>'платные на 2022 год '!E158</f>
        <v>0</v>
      </c>
      <c r="F45" s="2"/>
    </row>
    <row r="46" spans="1:6" ht="56.25" x14ac:dyDescent="0.25">
      <c r="A46" s="121" t="s">
        <v>59</v>
      </c>
      <c r="B46" s="123" t="s">
        <v>5</v>
      </c>
      <c r="C46" s="123">
        <v>300</v>
      </c>
      <c r="D46" s="5">
        <f t="shared" si="1"/>
        <v>0</v>
      </c>
      <c r="E46" s="2">
        <f>E48+E50+E49</f>
        <v>0</v>
      </c>
      <c r="F46" s="2">
        <f>F48+F50+F49</f>
        <v>0</v>
      </c>
    </row>
    <row r="47" spans="1:6" ht="18.75" x14ac:dyDescent="0.25">
      <c r="A47" s="121" t="s">
        <v>9</v>
      </c>
      <c r="B47" s="123"/>
      <c r="C47" s="123"/>
      <c r="D47" s="5"/>
      <c r="E47" s="2"/>
      <c r="F47" s="2"/>
    </row>
    <row r="48" spans="1:6" ht="14.45" customHeight="1" x14ac:dyDescent="0.25">
      <c r="A48" s="121" t="s">
        <v>36</v>
      </c>
      <c r="B48" s="123">
        <v>244</v>
      </c>
      <c r="C48" s="123">
        <v>310</v>
      </c>
      <c r="D48" s="5">
        <f t="shared" si="1"/>
        <v>0</v>
      </c>
      <c r="E48" s="2">
        <f>'платные на 2022 год '!E161</f>
        <v>0</v>
      </c>
      <c r="F48" s="2"/>
    </row>
    <row r="49" spans="1:6" ht="75" x14ac:dyDescent="0.25">
      <c r="A49" s="121" t="s">
        <v>68</v>
      </c>
      <c r="B49" s="123">
        <v>244</v>
      </c>
      <c r="C49" s="123">
        <v>320</v>
      </c>
      <c r="D49" s="5">
        <f t="shared" si="1"/>
        <v>0</v>
      </c>
      <c r="E49" s="2">
        <f>'платные на 2022 год '!E162</f>
        <v>0</v>
      </c>
      <c r="F49" s="2"/>
    </row>
    <row r="50" spans="1:6" ht="75" x14ac:dyDescent="0.25">
      <c r="A50" s="121" t="s">
        <v>60</v>
      </c>
      <c r="B50" s="123" t="s">
        <v>5</v>
      </c>
      <c r="C50" s="123">
        <v>340</v>
      </c>
      <c r="D50" s="5">
        <f t="shared" si="1"/>
        <v>0</v>
      </c>
      <c r="E50" s="2">
        <f>E52+E53+E54+E55+E56+E57+E58+E59</f>
        <v>0</v>
      </c>
      <c r="F50" s="2">
        <f>F52+F53+F54+F55+F56+F57+F59</f>
        <v>0</v>
      </c>
    </row>
    <row r="51" spans="1:6" ht="18.75" x14ac:dyDescent="0.25">
      <c r="A51" s="121" t="s">
        <v>6</v>
      </c>
      <c r="B51" s="123"/>
      <c r="C51" s="123"/>
      <c r="D51" s="5"/>
      <c r="E51" s="2"/>
      <c r="F51" s="2"/>
    </row>
    <row r="52" spans="1:6" ht="131.25" x14ac:dyDescent="0.25">
      <c r="A52" s="121" t="s">
        <v>37</v>
      </c>
      <c r="B52" s="123">
        <v>244</v>
      </c>
      <c r="C52" s="123">
        <v>341</v>
      </c>
      <c r="D52" s="5">
        <f t="shared" ref="D52:D59" si="9">E52+F52</f>
        <v>0</v>
      </c>
      <c r="E52" s="2">
        <f>'платные на 2022 год '!E165</f>
        <v>0</v>
      </c>
      <c r="F52" s="2"/>
    </row>
    <row r="53" spans="1:6" ht="56.25" x14ac:dyDescent="0.25">
      <c r="A53" s="121" t="s">
        <v>38</v>
      </c>
      <c r="B53" s="123">
        <v>244</v>
      </c>
      <c r="C53" s="123">
        <v>342</v>
      </c>
      <c r="D53" s="5">
        <f t="shared" si="9"/>
        <v>0</v>
      </c>
      <c r="E53" s="2">
        <f>'платные на 2022 год '!E166</f>
        <v>0</v>
      </c>
      <c r="F53" s="2"/>
    </row>
    <row r="54" spans="1:6" ht="75" x14ac:dyDescent="0.25">
      <c r="A54" s="121" t="s">
        <v>39</v>
      </c>
      <c r="B54" s="123">
        <v>244</v>
      </c>
      <c r="C54" s="123">
        <v>343</v>
      </c>
      <c r="D54" s="5">
        <f t="shared" si="9"/>
        <v>0</v>
      </c>
      <c r="E54" s="2">
        <f>'платные на 2022 год '!E167</f>
        <v>0</v>
      </c>
      <c r="F54" s="2"/>
    </row>
    <row r="55" spans="1:6" ht="75" x14ac:dyDescent="0.25">
      <c r="A55" s="121" t="s">
        <v>40</v>
      </c>
      <c r="B55" s="123">
        <v>244</v>
      </c>
      <c r="C55" s="123">
        <v>344</v>
      </c>
      <c r="D55" s="5">
        <f t="shared" si="9"/>
        <v>0</v>
      </c>
      <c r="E55" s="2">
        <f>'платные на 2022 год '!E168</f>
        <v>0</v>
      </c>
      <c r="F55" s="2"/>
    </row>
    <row r="56" spans="1:6" ht="56.25" x14ac:dyDescent="0.25">
      <c r="A56" s="121" t="s">
        <v>41</v>
      </c>
      <c r="B56" s="123">
        <v>244</v>
      </c>
      <c r="C56" s="123">
        <v>345</v>
      </c>
      <c r="D56" s="5">
        <f t="shared" si="9"/>
        <v>0</v>
      </c>
      <c r="E56" s="2">
        <f>'платные на 2022 год '!E169</f>
        <v>0</v>
      </c>
      <c r="F56" s="2"/>
    </row>
    <row r="57" spans="1:6" ht="75" x14ac:dyDescent="0.25">
      <c r="A57" s="121" t="s">
        <v>42</v>
      </c>
      <c r="B57" s="123">
        <v>244</v>
      </c>
      <c r="C57" s="123">
        <v>346</v>
      </c>
      <c r="D57" s="5">
        <f t="shared" si="9"/>
        <v>0</v>
      </c>
      <c r="E57" s="2">
        <f>'платные на 2022 год '!E170</f>
        <v>0</v>
      </c>
      <c r="F57" s="2"/>
    </row>
    <row r="58" spans="1:6" ht="112.5" x14ac:dyDescent="0.25">
      <c r="A58" s="170" t="s">
        <v>347</v>
      </c>
      <c r="B58" s="171">
        <v>244</v>
      </c>
      <c r="C58" s="171">
        <v>347</v>
      </c>
      <c r="D58" s="5">
        <f t="shared" ref="D58" si="10">E58+F58</f>
        <v>0</v>
      </c>
      <c r="E58" s="2">
        <f>'платные на 2022 год '!E171</f>
        <v>0</v>
      </c>
      <c r="F58" s="2"/>
    </row>
    <row r="59" spans="1:6" ht="112.5" x14ac:dyDescent="0.25">
      <c r="A59" s="121" t="s">
        <v>43</v>
      </c>
      <c r="B59" s="123">
        <v>244</v>
      </c>
      <c r="C59" s="123">
        <v>349</v>
      </c>
      <c r="D59" s="5">
        <f t="shared" si="9"/>
        <v>0</v>
      </c>
      <c r="E59" s="2">
        <f>'платные на 2022 год '!E172</f>
        <v>0</v>
      </c>
      <c r="F59" s="2"/>
    </row>
    <row r="60" spans="1:6" ht="32.450000000000003" customHeight="1" x14ac:dyDescent="0.25">
      <c r="A60" s="233" t="s">
        <v>202</v>
      </c>
      <c r="B60" s="234"/>
      <c r="C60" s="234"/>
      <c r="D60" s="234"/>
      <c r="E60" s="234"/>
      <c r="F60" s="235"/>
    </row>
    <row r="61" spans="1:6" ht="18.75" x14ac:dyDescent="0.25">
      <c r="A61" s="121" t="s">
        <v>8</v>
      </c>
      <c r="B61" s="123" t="s">
        <v>5</v>
      </c>
      <c r="C61" s="123">
        <v>200</v>
      </c>
      <c r="D61" s="5">
        <f t="shared" ref="D61" si="11">E61+F61</f>
        <v>26750</v>
      </c>
      <c r="E61" s="2">
        <f>E63+E66+E87</f>
        <v>26750</v>
      </c>
      <c r="F61" s="2">
        <f>F63+F66+F87</f>
        <v>0</v>
      </c>
    </row>
    <row r="62" spans="1:6" ht="18.75" x14ac:dyDescent="0.25">
      <c r="A62" s="121" t="s">
        <v>9</v>
      </c>
      <c r="B62" s="123"/>
      <c r="C62" s="123"/>
      <c r="D62" s="5"/>
      <c r="E62" s="2"/>
      <c r="F62" s="2"/>
    </row>
    <row r="63" spans="1:6" ht="75" x14ac:dyDescent="0.25">
      <c r="A63" s="121" t="s">
        <v>10</v>
      </c>
      <c r="B63" s="123" t="s">
        <v>5</v>
      </c>
      <c r="C63" s="123">
        <v>210</v>
      </c>
      <c r="D63" s="5">
        <f t="shared" ref="D63" si="12">E63+F63</f>
        <v>0</v>
      </c>
      <c r="E63" s="2">
        <f>E65</f>
        <v>0</v>
      </c>
      <c r="F63" s="2">
        <f>F65</f>
        <v>0</v>
      </c>
    </row>
    <row r="64" spans="1:6" ht="18.75" x14ac:dyDescent="0.25">
      <c r="A64" s="121" t="s">
        <v>9</v>
      </c>
      <c r="B64" s="123"/>
      <c r="C64" s="123"/>
      <c r="D64" s="5"/>
      <c r="E64" s="2"/>
      <c r="F64" s="2"/>
    </row>
    <row r="65" spans="1:6" ht="93.75" x14ac:dyDescent="0.25">
      <c r="A65" s="121" t="s">
        <v>201</v>
      </c>
      <c r="B65" s="123">
        <v>244</v>
      </c>
      <c r="C65" s="123">
        <v>214</v>
      </c>
      <c r="D65" s="5">
        <f>E65+F65</f>
        <v>0</v>
      </c>
      <c r="E65" s="2">
        <f>'платные на 2022 год '!E178</f>
        <v>0</v>
      </c>
      <c r="F65" s="2"/>
    </row>
    <row r="66" spans="1:6" ht="37.5" x14ac:dyDescent="0.25">
      <c r="A66" s="121" t="s">
        <v>14</v>
      </c>
      <c r="B66" s="123" t="s">
        <v>5</v>
      </c>
      <c r="C66" s="123">
        <v>220</v>
      </c>
      <c r="D66" s="5">
        <f t="shared" ref="D66" si="13">E66+F66</f>
        <v>26750</v>
      </c>
      <c r="E66" s="2">
        <f>E68+E69+E70+E78+E79+E82+E85+E86</f>
        <v>26750</v>
      </c>
      <c r="F66" s="2">
        <f>F68+F69+F70+F78+F79+F82+F85</f>
        <v>0</v>
      </c>
    </row>
    <row r="67" spans="1:6" ht="18.75" x14ac:dyDescent="0.25">
      <c r="A67" s="121" t="s">
        <v>9</v>
      </c>
      <c r="B67" s="123"/>
      <c r="C67" s="123"/>
      <c r="D67" s="5"/>
      <c r="E67" s="2"/>
      <c r="F67" s="2"/>
    </row>
    <row r="68" spans="1:6" ht="18.75" x14ac:dyDescent="0.25">
      <c r="A68" s="121" t="s">
        <v>15</v>
      </c>
      <c r="B68" s="123">
        <v>244</v>
      </c>
      <c r="C68" s="123">
        <v>221</v>
      </c>
      <c r="D68" s="5">
        <f t="shared" ref="D68:D70" si="14">E68+F68</f>
        <v>0</v>
      </c>
      <c r="E68" s="2">
        <f>'платные на 2022 год '!E181</f>
        <v>0</v>
      </c>
      <c r="F68" s="2"/>
    </row>
    <row r="69" spans="1:6" ht="37.5" x14ac:dyDescent="0.25">
      <c r="A69" s="121" t="s">
        <v>16</v>
      </c>
      <c r="B69" s="123">
        <v>244</v>
      </c>
      <c r="C69" s="123">
        <v>222</v>
      </c>
      <c r="D69" s="5">
        <f t="shared" si="14"/>
        <v>0</v>
      </c>
      <c r="E69" s="2">
        <f>'платные на 2022 год '!E182</f>
        <v>0</v>
      </c>
      <c r="F69" s="2"/>
    </row>
    <row r="70" spans="1:6" ht="37.5" x14ac:dyDescent="0.25">
      <c r="A70" s="121" t="s">
        <v>17</v>
      </c>
      <c r="B70" s="123" t="s">
        <v>5</v>
      </c>
      <c r="C70" s="123">
        <v>223</v>
      </c>
      <c r="D70" s="5">
        <f t="shared" si="14"/>
        <v>0</v>
      </c>
      <c r="E70" s="2">
        <f t="shared" ref="E70:F70" si="15">E72+E73+E74+E75+E76</f>
        <v>0</v>
      </c>
      <c r="F70" s="2">
        <f t="shared" si="15"/>
        <v>0</v>
      </c>
    </row>
    <row r="71" spans="1:6" ht="18.75" x14ac:dyDescent="0.25">
      <c r="A71" s="121" t="s">
        <v>6</v>
      </c>
      <c r="B71" s="123"/>
      <c r="C71" s="123"/>
      <c r="D71" s="5"/>
      <c r="E71" s="2"/>
      <c r="F71" s="2"/>
    </row>
    <row r="72" spans="1:6" ht="56.25" x14ac:dyDescent="0.25">
      <c r="A72" s="121" t="s">
        <v>18</v>
      </c>
      <c r="B72" s="123">
        <v>247</v>
      </c>
      <c r="C72" s="123">
        <v>223</v>
      </c>
      <c r="D72" s="5">
        <f t="shared" ref="D72:D78" si="16">E72+F72</f>
        <v>0</v>
      </c>
      <c r="E72" s="2">
        <f>'платные на 2022 год '!E185</f>
        <v>0</v>
      </c>
      <c r="F72" s="2"/>
    </row>
    <row r="73" spans="1:6" ht="37.5" x14ac:dyDescent="0.25">
      <c r="A73" s="121" t="s">
        <v>19</v>
      </c>
      <c r="B73" s="123">
        <v>247</v>
      </c>
      <c r="C73" s="123">
        <v>223</v>
      </c>
      <c r="D73" s="5">
        <f t="shared" si="16"/>
        <v>0</v>
      </c>
      <c r="E73" s="2">
        <f>'платные на 2022 год '!E186</f>
        <v>0</v>
      </c>
      <c r="F73" s="2"/>
    </row>
    <row r="74" spans="1:6" ht="75" x14ac:dyDescent="0.25">
      <c r="A74" s="121" t="s">
        <v>20</v>
      </c>
      <c r="B74" s="123">
        <v>247</v>
      </c>
      <c r="C74" s="123">
        <v>223</v>
      </c>
      <c r="D74" s="5">
        <f t="shared" si="16"/>
        <v>0</v>
      </c>
      <c r="E74" s="2">
        <f>'платные на 2022 год '!E187</f>
        <v>0</v>
      </c>
      <c r="F74" s="2"/>
    </row>
    <row r="75" spans="1:6" ht="75" x14ac:dyDescent="0.25">
      <c r="A75" s="121" t="s">
        <v>21</v>
      </c>
      <c r="B75" s="123">
        <v>244</v>
      </c>
      <c r="C75" s="123">
        <v>223</v>
      </c>
      <c r="D75" s="5">
        <f t="shared" si="16"/>
        <v>0</v>
      </c>
      <c r="E75" s="2">
        <f>'платные на 2022 год '!E188</f>
        <v>0</v>
      </c>
      <c r="F75" s="2"/>
    </row>
    <row r="76" spans="1:6" ht="56.25" x14ac:dyDescent="0.25">
      <c r="A76" s="121" t="s">
        <v>22</v>
      </c>
      <c r="B76" s="123">
        <v>244</v>
      </c>
      <c r="C76" s="123">
        <v>223</v>
      </c>
      <c r="D76" s="5">
        <f t="shared" si="16"/>
        <v>0</v>
      </c>
      <c r="E76" s="2">
        <f>'платные на 2022 год '!E189</f>
        <v>0</v>
      </c>
      <c r="F76" s="2"/>
    </row>
    <row r="77" spans="1:6" ht="56.25" x14ac:dyDescent="0.25">
      <c r="A77" s="195" t="s">
        <v>446</v>
      </c>
      <c r="B77" s="196">
        <v>244</v>
      </c>
      <c r="C77" s="196">
        <v>223</v>
      </c>
      <c r="D77" s="5">
        <f t="shared" ref="D77" si="17">E77+F77</f>
        <v>0</v>
      </c>
      <c r="E77" s="2">
        <f>'платные на 2022 год '!E190</f>
        <v>0</v>
      </c>
      <c r="F77" s="2"/>
    </row>
    <row r="78" spans="1:6" ht="168.75" x14ac:dyDescent="0.25">
      <c r="A78" s="121" t="s">
        <v>23</v>
      </c>
      <c r="B78" s="123">
        <v>244</v>
      </c>
      <c r="C78" s="123">
        <v>224</v>
      </c>
      <c r="D78" s="5">
        <f t="shared" si="16"/>
        <v>0</v>
      </c>
      <c r="E78" s="2">
        <f>'платные на 2022 год '!E191</f>
        <v>0</v>
      </c>
      <c r="F78" s="2"/>
    </row>
    <row r="79" spans="1:6" ht="56.25" x14ac:dyDescent="0.25">
      <c r="A79" s="121" t="s">
        <v>24</v>
      </c>
      <c r="B79" s="123" t="s">
        <v>5</v>
      </c>
      <c r="C79" s="123">
        <v>225</v>
      </c>
      <c r="D79" s="2">
        <f t="shared" ref="D79" si="18">D80+D81</f>
        <v>10560</v>
      </c>
      <c r="E79" s="2">
        <f>E80+E81</f>
        <v>10560</v>
      </c>
      <c r="F79" s="2">
        <f t="shared" ref="F79" si="19">F80+F81</f>
        <v>0</v>
      </c>
    </row>
    <row r="80" spans="1:6" ht="18.75" x14ac:dyDescent="0.25">
      <c r="A80" s="216" t="s">
        <v>6</v>
      </c>
      <c r="B80" s="123">
        <v>243</v>
      </c>
      <c r="C80" s="123">
        <v>225</v>
      </c>
      <c r="D80" s="5">
        <f t="shared" ref="D80:D91" si="20">E80+F80</f>
        <v>0</v>
      </c>
      <c r="E80" s="2">
        <f>'платные на 2022 год '!E193</f>
        <v>0</v>
      </c>
      <c r="F80" s="2"/>
    </row>
    <row r="81" spans="1:6" ht="18.75" x14ac:dyDescent="0.25">
      <c r="A81" s="216"/>
      <c r="B81" s="123">
        <v>244</v>
      </c>
      <c r="C81" s="123">
        <v>225</v>
      </c>
      <c r="D81" s="5">
        <f t="shared" si="20"/>
        <v>10560</v>
      </c>
      <c r="E81" s="2">
        <f>'платные на 2022 год '!E194</f>
        <v>10560</v>
      </c>
      <c r="F81" s="2"/>
    </row>
    <row r="82" spans="1:6" ht="37.5" x14ac:dyDescent="0.25">
      <c r="A82" s="121" t="s">
        <v>58</v>
      </c>
      <c r="B82" s="123" t="s">
        <v>5</v>
      </c>
      <c r="C82" s="123">
        <v>226</v>
      </c>
      <c r="D82" s="5">
        <f t="shared" si="20"/>
        <v>16190</v>
      </c>
      <c r="E82" s="2">
        <f>E83+E84</f>
        <v>16190</v>
      </c>
      <c r="F82" s="2">
        <f>F83+F84</f>
        <v>0</v>
      </c>
    </row>
    <row r="83" spans="1:6" ht="18.75" x14ac:dyDescent="0.25">
      <c r="A83" s="216" t="s">
        <v>6</v>
      </c>
      <c r="B83" s="123">
        <v>243</v>
      </c>
      <c r="C83" s="123">
        <v>226</v>
      </c>
      <c r="D83" s="5">
        <f t="shared" si="20"/>
        <v>0</v>
      </c>
      <c r="E83" s="2">
        <f>'платные на 2022 год '!E196</f>
        <v>0</v>
      </c>
      <c r="F83" s="2"/>
    </row>
    <row r="84" spans="1:6" ht="18.75" x14ac:dyDescent="0.25">
      <c r="A84" s="216"/>
      <c r="B84" s="123">
        <v>244</v>
      </c>
      <c r="C84" s="123">
        <v>226</v>
      </c>
      <c r="D84" s="5">
        <f t="shared" si="20"/>
        <v>16190</v>
      </c>
      <c r="E84" s="2">
        <f>'платные на 2022 год '!E197</f>
        <v>16190</v>
      </c>
      <c r="F84" s="2"/>
    </row>
    <row r="85" spans="1:6" ht="18.75" x14ac:dyDescent="0.25">
      <c r="A85" s="121" t="s">
        <v>25</v>
      </c>
      <c r="B85" s="123">
        <v>244</v>
      </c>
      <c r="C85" s="123">
        <v>227</v>
      </c>
      <c r="D85" s="5">
        <f t="shared" si="20"/>
        <v>0</v>
      </c>
      <c r="E85" s="2">
        <f>'платные на 2022 год '!E198</f>
        <v>0</v>
      </c>
      <c r="F85" s="2"/>
    </row>
    <row r="86" spans="1:6" ht="56.25" x14ac:dyDescent="0.25">
      <c r="A86" s="170" t="s">
        <v>346</v>
      </c>
      <c r="B86" s="171">
        <v>244</v>
      </c>
      <c r="C86" s="171">
        <v>228</v>
      </c>
      <c r="D86" s="5">
        <f t="shared" ref="D86" si="21">E86+F86</f>
        <v>0</v>
      </c>
      <c r="E86" s="2">
        <f>'платные на 2022 год '!E199</f>
        <v>0</v>
      </c>
      <c r="F86" s="2"/>
    </row>
    <row r="87" spans="1:6" ht="18.75" x14ac:dyDescent="0.25">
      <c r="A87" s="121" t="s">
        <v>30</v>
      </c>
      <c r="B87" s="123" t="s">
        <v>5</v>
      </c>
      <c r="C87" s="123">
        <v>290</v>
      </c>
      <c r="D87" s="5">
        <f t="shared" si="20"/>
        <v>0</v>
      </c>
      <c r="E87" s="2">
        <f>E89+E90</f>
        <v>0</v>
      </c>
      <c r="F87" s="2">
        <f>F89+F90</f>
        <v>0</v>
      </c>
    </row>
    <row r="88" spans="1:6" ht="18.75" x14ac:dyDescent="0.25">
      <c r="A88" s="121" t="s">
        <v>9</v>
      </c>
      <c r="B88" s="123"/>
      <c r="C88" s="123"/>
      <c r="D88" s="5">
        <f t="shared" si="20"/>
        <v>0</v>
      </c>
      <c r="E88" s="2"/>
      <c r="F88" s="2"/>
    </row>
    <row r="89" spans="1:6" ht="56.25" x14ac:dyDescent="0.25">
      <c r="A89" s="121" t="s">
        <v>34</v>
      </c>
      <c r="B89" s="123">
        <v>244</v>
      </c>
      <c r="C89" s="123">
        <v>296</v>
      </c>
      <c r="D89" s="5">
        <f t="shared" si="20"/>
        <v>0</v>
      </c>
      <c r="E89" s="2">
        <f>'платные на 2022 год '!E202</f>
        <v>0</v>
      </c>
      <c r="F89" s="2"/>
    </row>
    <row r="90" spans="1:6" ht="56.25" x14ac:dyDescent="0.25">
      <c r="A90" s="121" t="s">
        <v>35</v>
      </c>
      <c r="B90" s="123">
        <v>244</v>
      </c>
      <c r="C90" s="123">
        <v>297</v>
      </c>
      <c r="D90" s="5">
        <f t="shared" si="20"/>
        <v>0</v>
      </c>
      <c r="E90" s="2">
        <f>'платные на 2022 год '!E203</f>
        <v>0</v>
      </c>
      <c r="F90" s="2"/>
    </row>
    <row r="91" spans="1:6" ht="56.25" x14ac:dyDescent="0.25">
      <c r="A91" s="121" t="s">
        <v>59</v>
      </c>
      <c r="B91" s="123" t="s">
        <v>5</v>
      </c>
      <c r="C91" s="123">
        <v>300</v>
      </c>
      <c r="D91" s="5">
        <f t="shared" si="20"/>
        <v>2644165.4699999997</v>
      </c>
      <c r="E91" s="2">
        <f>E93+E95+E94</f>
        <v>2644165.4699999997</v>
      </c>
      <c r="F91" s="2">
        <f>F93+F95+F94</f>
        <v>0</v>
      </c>
    </row>
    <row r="92" spans="1:6" ht="18.75" x14ac:dyDescent="0.25">
      <c r="A92" s="121" t="s">
        <v>9</v>
      </c>
      <c r="B92" s="123"/>
      <c r="C92" s="123"/>
      <c r="D92" s="5"/>
      <c r="E92" s="2"/>
      <c r="F92" s="2"/>
    </row>
    <row r="93" spans="1:6" ht="56.25" x14ac:dyDescent="0.25">
      <c r="A93" s="121" t="s">
        <v>36</v>
      </c>
      <c r="B93" s="123">
        <v>244</v>
      </c>
      <c r="C93" s="123">
        <v>310</v>
      </c>
      <c r="D93" s="5">
        <f t="shared" ref="D93:D95" si="22">E93+F93</f>
        <v>2506445.94</v>
      </c>
      <c r="E93" s="2">
        <f>'платные на 2022 год '!E206</f>
        <v>2506445.94</v>
      </c>
      <c r="F93" s="2"/>
    </row>
    <row r="94" spans="1:6" ht="75" x14ac:dyDescent="0.25">
      <c r="A94" s="121" t="s">
        <v>68</v>
      </c>
      <c r="B94" s="123">
        <v>244</v>
      </c>
      <c r="C94" s="123">
        <v>320</v>
      </c>
      <c r="D94" s="5">
        <f t="shared" si="22"/>
        <v>0</v>
      </c>
      <c r="E94" s="2">
        <f>'платные на 2022 год '!E207</f>
        <v>0</v>
      </c>
      <c r="F94" s="2"/>
    </row>
    <row r="95" spans="1:6" ht="75" x14ac:dyDescent="0.25">
      <c r="A95" s="121" t="s">
        <v>60</v>
      </c>
      <c r="B95" s="123" t="s">
        <v>5</v>
      </c>
      <c r="C95" s="123">
        <v>340</v>
      </c>
      <c r="D95" s="5">
        <f t="shared" si="22"/>
        <v>137719.53</v>
      </c>
      <c r="E95" s="2">
        <f>E97+E98+E99+E100+E101+E102+E103+E104</f>
        <v>137719.53</v>
      </c>
      <c r="F95" s="2">
        <f>F97+F98+F99+F100+F101+F102+F104</f>
        <v>0</v>
      </c>
    </row>
    <row r="96" spans="1:6" ht="18.75" x14ac:dyDescent="0.25">
      <c r="A96" s="121" t="s">
        <v>6</v>
      </c>
      <c r="B96" s="123"/>
      <c r="C96" s="123"/>
      <c r="D96" s="5"/>
      <c r="E96" s="2"/>
      <c r="F96" s="2"/>
    </row>
    <row r="97" spans="1:6" ht="131.25" x14ac:dyDescent="0.25">
      <c r="A97" s="121" t="s">
        <v>37</v>
      </c>
      <c r="B97" s="123">
        <v>244</v>
      </c>
      <c r="C97" s="123">
        <v>341</v>
      </c>
      <c r="D97" s="5">
        <f t="shared" ref="D97:D104" si="23">E97+F97</f>
        <v>0</v>
      </c>
      <c r="E97" s="2">
        <f>'платные на 2022 год '!E210</f>
        <v>0</v>
      </c>
      <c r="F97" s="2"/>
    </row>
    <row r="98" spans="1:6" ht="56.25" x14ac:dyDescent="0.25">
      <c r="A98" s="121" t="s">
        <v>38</v>
      </c>
      <c r="B98" s="123">
        <v>244</v>
      </c>
      <c r="C98" s="123">
        <v>342</v>
      </c>
      <c r="D98" s="5">
        <f t="shared" si="23"/>
        <v>0</v>
      </c>
      <c r="E98" s="2">
        <f>'платные на 2022 год '!E211</f>
        <v>0</v>
      </c>
      <c r="F98" s="2"/>
    </row>
    <row r="99" spans="1:6" ht="75" x14ac:dyDescent="0.25">
      <c r="A99" s="121" t="s">
        <v>39</v>
      </c>
      <c r="B99" s="123">
        <v>244</v>
      </c>
      <c r="C99" s="123">
        <v>343</v>
      </c>
      <c r="D99" s="5">
        <f t="shared" si="23"/>
        <v>0</v>
      </c>
      <c r="E99" s="2">
        <f>'платные на 2022 год '!E212</f>
        <v>0</v>
      </c>
      <c r="F99" s="2"/>
    </row>
    <row r="100" spans="1:6" ht="75" x14ac:dyDescent="0.25">
      <c r="A100" s="121" t="s">
        <v>40</v>
      </c>
      <c r="B100" s="123">
        <v>244</v>
      </c>
      <c r="C100" s="123">
        <v>344</v>
      </c>
      <c r="D100" s="5">
        <f t="shared" si="23"/>
        <v>0</v>
      </c>
      <c r="E100" s="2">
        <f>'платные на 2022 год '!E213</f>
        <v>0</v>
      </c>
      <c r="F100" s="2"/>
    </row>
    <row r="101" spans="1:6" ht="56.25" x14ac:dyDescent="0.25">
      <c r="A101" s="121" t="s">
        <v>41</v>
      </c>
      <c r="B101" s="123">
        <v>244</v>
      </c>
      <c r="C101" s="123">
        <v>345</v>
      </c>
      <c r="D101" s="5">
        <f t="shared" si="23"/>
        <v>0</v>
      </c>
      <c r="E101" s="2">
        <f>'платные на 2022 год '!E214</f>
        <v>0</v>
      </c>
      <c r="F101" s="2"/>
    </row>
    <row r="102" spans="1:6" ht="75" x14ac:dyDescent="0.25">
      <c r="A102" s="121" t="s">
        <v>42</v>
      </c>
      <c r="B102" s="123">
        <v>244</v>
      </c>
      <c r="C102" s="123">
        <v>346</v>
      </c>
      <c r="D102" s="5">
        <f t="shared" si="23"/>
        <v>128107.53</v>
      </c>
      <c r="E102" s="2">
        <f>'платные на 2022 год '!E215</f>
        <v>128107.53</v>
      </c>
      <c r="F102" s="2"/>
    </row>
    <row r="103" spans="1:6" ht="112.5" x14ac:dyDescent="0.25">
      <c r="A103" s="170" t="s">
        <v>347</v>
      </c>
      <c r="B103" s="171">
        <v>244</v>
      </c>
      <c r="C103" s="171">
        <v>347</v>
      </c>
      <c r="D103" s="5">
        <f t="shared" ref="D103" si="24">E103+F103</f>
        <v>0</v>
      </c>
      <c r="E103" s="2">
        <f>'платные на 2022 год '!E216</f>
        <v>0</v>
      </c>
      <c r="F103" s="2"/>
    </row>
    <row r="104" spans="1:6" ht="112.5" x14ac:dyDescent="0.25">
      <c r="A104" s="121" t="s">
        <v>43</v>
      </c>
      <c r="B104" s="123">
        <v>244</v>
      </c>
      <c r="C104" s="123">
        <v>349</v>
      </c>
      <c r="D104" s="5">
        <f t="shared" si="23"/>
        <v>9612</v>
      </c>
      <c r="E104" s="2">
        <f>'платные на 2022 год '!E217</f>
        <v>9612</v>
      </c>
      <c r="F104" s="2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19"/>
      <c r="C107" s="219"/>
      <c r="D107" s="10"/>
      <c r="E107" s="219" t="s">
        <v>465</v>
      </c>
      <c r="F107" s="219"/>
    </row>
    <row r="108" spans="1:6" ht="18.75" x14ac:dyDescent="0.3">
      <c r="A108" s="29"/>
      <c r="B108" s="218" t="s">
        <v>53</v>
      </c>
      <c r="C108" s="218"/>
      <c r="D108" s="10"/>
      <c r="E108" s="218" t="s">
        <v>54</v>
      </c>
      <c r="F108" s="218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19"/>
      <c r="C110" s="219"/>
      <c r="D110" s="10"/>
      <c r="E110" s="219" t="s">
        <v>341</v>
      </c>
      <c r="F110" s="219"/>
    </row>
    <row r="111" spans="1:6" ht="18.75" x14ac:dyDescent="0.3">
      <c r="A111" s="29"/>
      <c r="B111" s="218" t="s">
        <v>53</v>
      </c>
      <c r="C111" s="218"/>
      <c r="D111" s="10"/>
      <c r="E111" s="218" t="s">
        <v>54</v>
      </c>
      <c r="F111" s="218"/>
    </row>
    <row r="112" spans="1:6" ht="18.75" x14ac:dyDescent="0.3">
      <c r="A112" s="29"/>
      <c r="B112" s="122"/>
      <c r="C112" s="122"/>
      <c r="D112" s="10"/>
      <c r="E112" s="122"/>
      <c r="F112" s="122"/>
    </row>
    <row r="113" spans="1:6" ht="18.75" x14ac:dyDescent="0.3">
      <c r="A113" s="29" t="s">
        <v>56</v>
      </c>
      <c r="B113" s="219"/>
      <c r="C113" s="219"/>
      <c r="D113" s="10"/>
      <c r="E113" s="219" t="s">
        <v>341</v>
      </c>
      <c r="F113" s="219"/>
    </row>
    <row r="114" spans="1:6" ht="18.75" x14ac:dyDescent="0.3">
      <c r="A114" s="29"/>
      <c r="B114" s="218" t="s">
        <v>53</v>
      </c>
      <c r="C114" s="218"/>
      <c r="D114" s="10"/>
      <c r="E114" s="218" t="s">
        <v>54</v>
      </c>
      <c r="F114" s="218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17" t="s">
        <v>44</v>
      </c>
      <c r="B116" s="217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66" firstPageNumber="12" orientation="portrait" useFirstPageNumber="1" r:id="rId1"/>
  <rowBreaks count="3" manualBreakCount="3">
    <brk id="65" max="5" man="1"/>
    <brk id="90" max="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32"/>
  <sheetViews>
    <sheetView view="pageBreakPreview" topLeftCell="A89" zoomScaleNormal="100" zoomScaleSheetLayoutView="100" workbookViewId="0">
      <selection activeCell="G102" sqref="G102"/>
    </sheetView>
  </sheetViews>
  <sheetFormatPr defaultColWidth="8.85546875" defaultRowHeight="15" x14ac:dyDescent="0.25"/>
  <cols>
    <col min="1" max="1" width="23.2851562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" width="8.85546875" style="7"/>
    <col min="17" max="17" width="6.28515625" style="7" customWidth="1"/>
    <col min="18" max="16384" width="8.85546875" style="7"/>
  </cols>
  <sheetData>
    <row r="1" spans="1:7" ht="40.15" customHeight="1" x14ac:dyDescent="0.25">
      <c r="A1" s="284" t="s">
        <v>488</v>
      </c>
      <c r="B1" s="284"/>
      <c r="C1" s="284"/>
      <c r="D1" s="284"/>
      <c r="E1" s="284"/>
      <c r="F1" s="284"/>
      <c r="G1" s="284"/>
    </row>
    <row r="2" spans="1:7" ht="18.75" x14ac:dyDescent="0.25">
      <c r="A2" s="67"/>
      <c r="B2" s="67"/>
      <c r="C2" s="67"/>
      <c r="D2" s="67"/>
      <c r="E2" s="67"/>
      <c r="F2" s="67"/>
      <c r="G2" s="67"/>
    </row>
    <row r="3" spans="1:7" ht="35.450000000000003" customHeight="1" x14ac:dyDescent="0.25">
      <c r="A3" s="284" t="s">
        <v>489</v>
      </c>
      <c r="B3" s="284"/>
      <c r="C3" s="284"/>
      <c r="D3" s="284"/>
      <c r="E3" s="284"/>
      <c r="F3" s="284"/>
      <c r="G3" s="284"/>
    </row>
    <row r="4" spans="1:7" ht="43.9" customHeight="1" x14ac:dyDescent="0.25">
      <c r="A4" s="284" t="s">
        <v>174</v>
      </c>
      <c r="B4" s="284"/>
      <c r="C4" s="284"/>
      <c r="D4" s="284"/>
      <c r="E4" s="284"/>
      <c r="F4" s="284"/>
      <c r="G4" s="284"/>
    </row>
    <row r="5" spans="1:7" ht="18.75" x14ac:dyDescent="0.25">
      <c r="A5" s="67"/>
      <c r="B5" s="67"/>
      <c r="C5" s="67"/>
      <c r="D5" s="67"/>
      <c r="E5" s="67"/>
      <c r="F5" s="67"/>
      <c r="G5" s="67"/>
    </row>
    <row r="6" spans="1:7" ht="18.75" x14ac:dyDescent="0.25">
      <c r="A6" s="64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41.45" customHeight="1" x14ac:dyDescent="0.25">
      <c r="A9" s="68" t="s">
        <v>86</v>
      </c>
      <c r="B9" s="270" t="s">
        <v>172</v>
      </c>
      <c r="C9" s="270"/>
      <c r="D9" s="270" t="s">
        <v>173</v>
      </c>
      <c r="E9" s="270"/>
      <c r="F9" s="270" t="s">
        <v>94</v>
      </c>
      <c r="G9" s="270"/>
    </row>
    <row r="10" spans="1:7" ht="18.75" x14ac:dyDescent="0.25">
      <c r="A10" s="68">
        <v>1</v>
      </c>
      <c r="B10" s="270">
        <v>2</v>
      </c>
      <c r="C10" s="270"/>
      <c r="D10" s="270">
        <v>3</v>
      </c>
      <c r="E10" s="270"/>
      <c r="F10" s="270">
        <v>4</v>
      </c>
      <c r="G10" s="270"/>
    </row>
    <row r="11" spans="1:7" ht="75" x14ac:dyDescent="0.25">
      <c r="A11" s="13" t="s">
        <v>164</v>
      </c>
      <c r="B11" s="270"/>
      <c r="C11" s="270"/>
      <c r="D11" s="270"/>
      <c r="E11" s="270"/>
      <c r="F11" s="273">
        <f>'платные на 2022 год '!D13</f>
        <v>1476872</v>
      </c>
      <c r="G11" s="273"/>
    </row>
    <row r="12" spans="1:7" ht="18.75" x14ac:dyDescent="0.25">
      <c r="A12" s="64"/>
    </row>
    <row r="13" spans="1:7" ht="18.75" x14ac:dyDescent="0.25">
      <c r="A13" s="284" t="s">
        <v>176</v>
      </c>
      <c r="B13" s="284"/>
      <c r="C13" s="284"/>
      <c r="D13" s="284"/>
      <c r="E13" s="284"/>
      <c r="F13" s="284"/>
      <c r="G13" s="284"/>
    </row>
    <row r="14" spans="1:7" ht="18.75" x14ac:dyDescent="0.25">
      <c r="A14" s="176"/>
    </row>
    <row r="15" spans="1:7" ht="18.75" x14ac:dyDescent="0.3">
      <c r="A15" s="9" t="s">
        <v>255</v>
      </c>
      <c r="B15" s="10">
        <v>140</v>
      </c>
    </row>
    <row r="16" spans="1:7" x14ac:dyDescent="0.25">
      <c r="A16" s="11"/>
    </row>
    <row r="17" spans="1:7" ht="37.9" customHeight="1" x14ac:dyDescent="0.25">
      <c r="A17" s="250" t="s">
        <v>86</v>
      </c>
      <c r="B17" s="277"/>
      <c r="C17" s="251"/>
      <c r="D17" s="250" t="s">
        <v>165</v>
      </c>
      <c r="E17" s="277"/>
      <c r="F17" s="277"/>
      <c r="G17" s="251"/>
    </row>
    <row r="18" spans="1:7" ht="18.75" x14ac:dyDescent="0.25">
      <c r="A18" s="250">
        <v>1</v>
      </c>
      <c r="B18" s="277"/>
      <c r="C18" s="251"/>
      <c r="D18" s="250">
        <v>3</v>
      </c>
      <c r="E18" s="277"/>
      <c r="F18" s="277"/>
      <c r="G18" s="251"/>
    </row>
    <row r="19" spans="1:7" ht="36.75" customHeight="1" x14ac:dyDescent="0.25">
      <c r="A19" s="248" t="s">
        <v>369</v>
      </c>
      <c r="B19" s="260"/>
      <c r="C19" s="249"/>
      <c r="D19" s="244">
        <f>'платные на 2022 год '!D14</f>
        <v>3478.46</v>
      </c>
      <c r="E19" s="305"/>
      <c r="F19" s="305"/>
      <c r="G19" s="245"/>
    </row>
    <row r="20" spans="1:7" ht="18.75" x14ac:dyDescent="0.25">
      <c r="A20" s="64"/>
    </row>
    <row r="21" spans="1:7" ht="18.75" x14ac:dyDescent="0.25">
      <c r="A21" s="15"/>
      <c r="B21" s="19"/>
      <c r="C21" s="19"/>
      <c r="D21" s="19"/>
      <c r="E21" s="19"/>
      <c r="F21" s="19"/>
      <c r="G21" s="19"/>
    </row>
    <row r="22" spans="1:7" ht="48.6" customHeight="1" x14ac:dyDescent="0.25">
      <c r="A22" s="284" t="s">
        <v>490</v>
      </c>
      <c r="B22" s="284"/>
      <c r="C22" s="284"/>
      <c r="D22" s="284"/>
      <c r="E22" s="284"/>
      <c r="F22" s="284"/>
      <c r="G22" s="284"/>
    </row>
    <row r="23" spans="1:7" ht="18.75" x14ac:dyDescent="0.25">
      <c r="A23" s="8"/>
    </row>
    <row r="24" spans="1:7" ht="18.75" x14ac:dyDescent="0.25">
      <c r="A24" s="269" t="s">
        <v>189</v>
      </c>
      <c r="B24" s="269"/>
      <c r="C24" s="269"/>
      <c r="D24" s="269"/>
      <c r="E24" s="269"/>
      <c r="F24" s="269"/>
      <c r="G24" s="269"/>
    </row>
    <row r="25" spans="1:7" ht="18.75" x14ac:dyDescent="0.25">
      <c r="A25" s="9"/>
    </row>
    <row r="26" spans="1:7" ht="18.75" x14ac:dyDescent="0.3">
      <c r="A26" s="9" t="s">
        <v>145</v>
      </c>
      <c r="B26" s="10">
        <v>111</v>
      </c>
    </row>
    <row r="27" spans="1:7" x14ac:dyDescent="0.25">
      <c r="A27" s="11"/>
    </row>
    <row r="28" spans="1:7" ht="54" customHeight="1" x14ac:dyDescent="0.25">
      <c r="A28" s="270" t="s">
        <v>76</v>
      </c>
      <c r="B28" s="270" t="s">
        <v>77</v>
      </c>
      <c r="C28" s="270" t="s">
        <v>78</v>
      </c>
      <c r="D28" s="270"/>
      <c r="E28" s="270"/>
      <c r="F28" s="270"/>
      <c r="G28" s="270" t="s">
        <v>79</v>
      </c>
    </row>
    <row r="29" spans="1:7" ht="18.75" x14ac:dyDescent="0.25">
      <c r="A29" s="270"/>
      <c r="B29" s="270"/>
      <c r="C29" s="270" t="s">
        <v>80</v>
      </c>
      <c r="D29" s="270" t="s">
        <v>6</v>
      </c>
      <c r="E29" s="270"/>
      <c r="F29" s="270"/>
      <c r="G29" s="270"/>
    </row>
    <row r="30" spans="1:7" ht="75" x14ac:dyDescent="0.25">
      <c r="A30" s="270"/>
      <c r="B30" s="270"/>
      <c r="C30" s="270"/>
      <c r="D30" s="12" t="s">
        <v>81</v>
      </c>
      <c r="E30" s="12" t="s">
        <v>82</v>
      </c>
      <c r="F30" s="12" t="s">
        <v>83</v>
      </c>
      <c r="G30" s="270"/>
    </row>
    <row r="31" spans="1:7" ht="18.75" x14ac:dyDescent="0.25">
      <c r="A31" s="68">
        <v>1</v>
      </c>
      <c r="B31" s="68">
        <v>2</v>
      </c>
      <c r="C31" s="68">
        <v>3</v>
      </c>
      <c r="D31" s="68">
        <v>4</v>
      </c>
      <c r="E31" s="68">
        <v>4</v>
      </c>
      <c r="F31" s="68">
        <v>5</v>
      </c>
      <c r="G31" s="68">
        <v>7</v>
      </c>
    </row>
    <row r="32" spans="1:7" ht="18.75" x14ac:dyDescent="0.25">
      <c r="A32" s="68"/>
      <c r="B32" s="68"/>
      <c r="C32" s="77"/>
      <c r="D32" s="77"/>
      <c r="E32" s="77"/>
      <c r="F32" s="77"/>
      <c r="G32" s="77"/>
    </row>
    <row r="33" spans="1:7" ht="18.75" x14ac:dyDescent="0.25">
      <c r="A33" s="68" t="s">
        <v>146</v>
      </c>
      <c r="B33" s="68"/>
      <c r="C33" s="77"/>
      <c r="D33" s="77"/>
      <c r="E33" s="77"/>
      <c r="F33" s="77"/>
      <c r="G33" s="77">
        <f>'платные на 2022 год '!D31+'платные на 2022 год '!D70</f>
        <v>832130.08</v>
      </c>
    </row>
    <row r="34" spans="1:7" ht="18.75" x14ac:dyDescent="0.25">
      <c r="A34" s="8"/>
    </row>
    <row r="35" spans="1:7" ht="18.75" x14ac:dyDescent="0.25">
      <c r="A35" s="269" t="s">
        <v>180</v>
      </c>
      <c r="B35" s="269"/>
      <c r="C35" s="269"/>
      <c r="D35" s="269"/>
      <c r="E35" s="269"/>
      <c r="F35" s="269"/>
      <c r="G35" s="269"/>
    </row>
    <row r="36" spans="1:7" ht="18.75" x14ac:dyDescent="0.25">
      <c r="A36" s="66"/>
      <c r="B36" s="66"/>
      <c r="C36" s="66"/>
      <c r="D36" s="66"/>
      <c r="E36" s="66"/>
      <c r="F36" s="66"/>
      <c r="G36" s="66"/>
    </row>
    <row r="37" spans="1:7" ht="18.75" x14ac:dyDescent="0.3">
      <c r="A37" s="9" t="s">
        <v>145</v>
      </c>
      <c r="B37" s="10" t="s">
        <v>372</v>
      </c>
    </row>
    <row r="38" spans="1:7" x14ac:dyDescent="0.25">
      <c r="A38" s="11"/>
    </row>
    <row r="39" spans="1:7" ht="129" customHeight="1" x14ac:dyDescent="0.25">
      <c r="A39" s="270" t="s">
        <v>84</v>
      </c>
      <c r="B39" s="270" t="s">
        <v>244</v>
      </c>
      <c r="C39" s="270"/>
      <c r="D39" s="270" t="s">
        <v>185</v>
      </c>
      <c r="E39" s="270"/>
      <c r="F39" s="270" t="s">
        <v>85</v>
      </c>
      <c r="G39" s="270"/>
    </row>
    <row r="40" spans="1:7" ht="15" customHeight="1" x14ac:dyDescent="0.25">
      <c r="A40" s="270"/>
      <c r="B40" s="270"/>
      <c r="C40" s="270"/>
      <c r="D40" s="270"/>
      <c r="E40" s="270"/>
      <c r="F40" s="270"/>
      <c r="G40" s="270"/>
    </row>
    <row r="41" spans="1:7" ht="18.75" x14ac:dyDescent="0.25">
      <c r="A41" s="68">
        <v>1</v>
      </c>
      <c r="B41" s="270">
        <v>2</v>
      </c>
      <c r="C41" s="270"/>
      <c r="D41" s="270">
        <v>3</v>
      </c>
      <c r="E41" s="270"/>
      <c r="F41" s="270">
        <v>4</v>
      </c>
      <c r="G41" s="270"/>
    </row>
    <row r="42" spans="1:7" ht="18.75" x14ac:dyDescent="0.25">
      <c r="A42" s="13"/>
      <c r="B42" s="273">
        <f>'платные на 2022 год '!D70+'платные на 2022 год '!D31+'платные на 2022 год '!D33</f>
        <v>1083433.6299999999</v>
      </c>
      <c r="C42" s="273"/>
      <c r="D42" s="273">
        <f>G33</f>
        <v>832130.08</v>
      </c>
      <c r="E42" s="273"/>
      <c r="F42" s="273">
        <f>B42-D42</f>
        <v>251303.54999999993</v>
      </c>
      <c r="G42" s="273"/>
    </row>
    <row r="43" spans="1:7" ht="18.75" x14ac:dyDescent="0.25">
      <c r="A43" s="8"/>
    </row>
    <row r="44" spans="1:7" ht="36.6" customHeight="1" x14ac:dyDescent="0.25">
      <c r="A44" s="271" t="s">
        <v>205</v>
      </c>
      <c r="B44" s="271"/>
      <c r="C44" s="271"/>
      <c r="D44" s="271"/>
      <c r="E44" s="271"/>
      <c r="F44" s="271"/>
      <c r="G44" s="271"/>
    </row>
    <row r="45" spans="1:7" ht="18.75" x14ac:dyDescent="0.25">
      <c r="A45" s="69"/>
      <c r="B45" s="69"/>
      <c r="C45" s="69"/>
      <c r="D45" s="69"/>
      <c r="E45" s="69"/>
      <c r="F45" s="69"/>
      <c r="G45" s="69"/>
    </row>
    <row r="46" spans="1:7" ht="18.75" x14ac:dyDescent="0.3">
      <c r="A46" s="9" t="s">
        <v>147</v>
      </c>
      <c r="B46" s="10">
        <v>112</v>
      </c>
    </row>
    <row r="47" spans="1:7" x14ac:dyDescent="0.25">
      <c r="A47" s="11"/>
    </row>
    <row r="48" spans="1:7" ht="108.6" customHeight="1" x14ac:dyDescent="0.25">
      <c r="A48" s="68" t="s">
        <v>86</v>
      </c>
      <c r="B48" s="68" t="s">
        <v>87</v>
      </c>
      <c r="C48" s="270" t="s">
        <v>88</v>
      </c>
      <c r="D48" s="270"/>
      <c r="E48" s="68" t="s">
        <v>89</v>
      </c>
      <c r="F48" s="270" t="s">
        <v>90</v>
      </c>
      <c r="G48" s="270"/>
    </row>
    <row r="49" spans="1:7" ht="18.75" x14ac:dyDescent="0.25">
      <c r="A49" s="68">
        <v>1</v>
      </c>
      <c r="B49" s="68">
        <v>2</v>
      </c>
      <c r="C49" s="270">
        <v>3</v>
      </c>
      <c r="D49" s="270"/>
      <c r="E49" s="68">
        <v>4</v>
      </c>
      <c r="F49" s="270">
        <v>5</v>
      </c>
      <c r="G49" s="270"/>
    </row>
    <row r="50" spans="1:7" ht="37.5" x14ac:dyDescent="0.25">
      <c r="A50" s="13" t="s">
        <v>95</v>
      </c>
      <c r="B50" s="171">
        <v>5</v>
      </c>
      <c r="C50" s="270">
        <v>600</v>
      </c>
      <c r="D50" s="270"/>
      <c r="E50" s="171">
        <v>11</v>
      </c>
      <c r="F50" s="273">
        <f>'платные на 2022 год '!D59</f>
        <v>80000</v>
      </c>
      <c r="G50" s="273"/>
    </row>
    <row r="51" spans="1:7" ht="18.75" x14ac:dyDescent="0.25">
      <c r="A51" s="15"/>
      <c r="B51" s="19"/>
      <c r="C51" s="19"/>
      <c r="D51" s="19"/>
      <c r="E51" s="19"/>
      <c r="F51" s="82"/>
      <c r="G51" s="82"/>
    </row>
    <row r="52" spans="1:7" ht="36.75" customHeight="1" x14ac:dyDescent="0.25">
      <c r="A52" s="271" t="s">
        <v>226</v>
      </c>
      <c r="B52" s="271"/>
      <c r="C52" s="271"/>
      <c r="D52" s="271"/>
      <c r="E52" s="271"/>
      <c r="F52" s="271"/>
      <c r="G52" s="271"/>
    </row>
    <row r="53" spans="1:7" ht="18.75" x14ac:dyDescent="0.3">
      <c r="A53" s="9" t="s">
        <v>145</v>
      </c>
      <c r="B53" s="10">
        <v>851</v>
      </c>
    </row>
    <row r="54" spans="1:7" x14ac:dyDescent="0.25">
      <c r="A54" s="11"/>
    </row>
    <row r="55" spans="1:7" ht="18.75" customHeight="1" x14ac:dyDescent="0.25">
      <c r="A55" s="213" t="s">
        <v>86</v>
      </c>
      <c r="B55" s="250" t="s">
        <v>109</v>
      </c>
      <c r="C55" s="251"/>
      <c r="D55" s="250" t="s">
        <v>110</v>
      </c>
      <c r="E55" s="251"/>
      <c r="F55" s="250" t="s">
        <v>111</v>
      </c>
      <c r="G55" s="251"/>
    </row>
    <row r="56" spans="1:7" ht="18.75" customHeight="1" x14ac:dyDescent="0.25">
      <c r="A56" s="213">
        <v>1</v>
      </c>
      <c r="B56" s="250">
        <v>2</v>
      </c>
      <c r="C56" s="251"/>
      <c r="D56" s="278">
        <v>3</v>
      </c>
      <c r="E56" s="279"/>
      <c r="F56" s="278">
        <v>4</v>
      </c>
      <c r="G56" s="279"/>
    </row>
    <row r="57" spans="1:7" ht="18.75" x14ac:dyDescent="0.25">
      <c r="A57" s="13"/>
      <c r="B57" s="244"/>
      <c r="C57" s="245"/>
      <c r="D57" s="244"/>
      <c r="E57" s="245"/>
      <c r="F57" s="280">
        <v>0</v>
      </c>
      <c r="G57" s="281"/>
    </row>
    <row r="58" spans="1:7" ht="18.75" x14ac:dyDescent="0.25">
      <c r="A58" s="13"/>
      <c r="B58" s="244"/>
      <c r="C58" s="245"/>
      <c r="D58" s="244"/>
      <c r="E58" s="245"/>
      <c r="F58" s="282"/>
      <c r="G58" s="283"/>
    </row>
    <row r="59" spans="1:7" ht="18.75" x14ac:dyDescent="0.25">
      <c r="A59" s="15"/>
      <c r="B59" s="16"/>
      <c r="C59" s="19"/>
      <c r="D59" s="20"/>
      <c r="E59" s="21"/>
      <c r="F59" s="21"/>
      <c r="G59" s="21"/>
    </row>
    <row r="60" spans="1:7" ht="18.75" x14ac:dyDescent="0.25">
      <c r="A60" s="9" t="s">
        <v>114</v>
      </c>
    </row>
    <row r="61" spans="1:7" x14ac:dyDescent="0.25">
      <c r="A61" s="11"/>
    </row>
    <row r="62" spans="1:7" ht="18.75" customHeight="1" x14ac:dyDescent="0.25">
      <c r="A62" s="213" t="s">
        <v>86</v>
      </c>
      <c r="B62" s="270" t="s">
        <v>109</v>
      </c>
      <c r="C62" s="270"/>
      <c r="D62" s="270" t="s">
        <v>110</v>
      </c>
      <c r="E62" s="270"/>
      <c r="F62" s="270" t="s">
        <v>115</v>
      </c>
      <c r="G62" s="270"/>
    </row>
    <row r="63" spans="1:7" ht="18.75" x14ac:dyDescent="0.3">
      <c r="A63" s="213">
        <v>1</v>
      </c>
      <c r="B63" s="250">
        <v>2</v>
      </c>
      <c r="C63" s="251"/>
      <c r="D63" s="250">
        <v>3</v>
      </c>
      <c r="E63" s="251"/>
      <c r="F63" s="258">
        <v>4</v>
      </c>
      <c r="G63" s="259"/>
    </row>
    <row r="64" spans="1:7" ht="18.75" x14ac:dyDescent="0.25">
      <c r="A64" s="13" t="s">
        <v>495</v>
      </c>
      <c r="B64" s="250" t="s">
        <v>117</v>
      </c>
      <c r="C64" s="251"/>
      <c r="D64" s="250" t="s">
        <v>117</v>
      </c>
      <c r="E64" s="251"/>
      <c r="F64" s="294">
        <f>'платные на 2022 год '!D77</f>
        <v>3000</v>
      </c>
      <c r="G64" s="296"/>
    </row>
    <row r="65" spans="1:7" ht="18.75" x14ac:dyDescent="0.25">
      <c r="A65" s="9"/>
    </row>
    <row r="66" spans="1:7" ht="18.75" customHeight="1" x14ac:dyDescent="0.25">
      <c r="A66" s="9" t="s">
        <v>119</v>
      </c>
    </row>
    <row r="67" spans="1:7" x14ac:dyDescent="0.25">
      <c r="A67" s="11"/>
    </row>
    <row r="68" spans="1:7" ht="18.75" customHeight="1" x14ac:dyDescent="0.25">
      <c r="A68" s="213" t="s">
        <v>86</v>
      </c>
      <c r="B68" s="250" t="s">
        <v>109</v>
      </c>
      <c r="C68" s="251"/>
      <c r="D68" s="250" t="s">
        <v>110</v>
      </c>
      <c r="E68" s="251"/>
      <c r="F68" s="250" t="s">
        <v>115</v>
      </c>
      <c r="G68" s="251"/>
    </row>
    <row r="69" spans="1:7" ht="18.75" customHeight="1" x14ac:dyDescent="0.3">
      <c r="A69" s="213">
        <v>1</v>
      </c>
      <c r="B69" s="250">
        <v>2</v>
      </c>
      <c r="C69" s="251"/>
      <c r="D69" s="250">
        <v>3</v>
      </c>
      <c r="E69" s="251"/>
      <c r="F69" s="258">
        <v>4</v>
      </c>
      <c r="G69" s="259"/>
    </row>
    <row r="70" spans="1:7" ht="75" x14ac:dyDescent="0.25">
      <c r="A70" s="13" t="s">
        <v>155</v>
      </c>
      <c r="B70" s="250" t="s">
        <v>117</v>
      </c>
      <c r="C70" s="251"/>
      <c r="D70" s="250" t="s">
        <v>117</v>
      </c>
      <c r="E70" s="251"/>
      <c r="F70" s="294">
        <v>0</v>
      </c>
      <c r="G70" s="295"/>
    </row>
    <row r="71" spans="1:7" ht="18.75" x14ac:dyDescent="0.25">
      <c r="A71" s="15"/>
      <c r="B71" s="19"/>
      <c r="C71" s="19"/>
      <c r="D71" s="19"/>
      <c r="E71" s="19"/>
      <c r="F71" s="185"/>
      <c r="G71" s="185"/>
    </row>
    <row r="72" spans="1:7" ht="18.75" x14ac:dyDescent="0.25">
      <c r="A72" s="272" t="s">
        <v>220</v>
      </c>
      <c r="B72" s="272"/>
      <c r="C72" s="272"/>
      <c r="D72" s="272"/>
      <c r="E72" s="272"/>
      <c r="F72" s="272"/>
      <c r="G72" s="272"/>
    </row>
    <row r="73" spans="1:7" ht="18.75" x14ac:dyDescent="0.3">
      <c r="A73" s="9" t="s">
        <v>145</v>
      </c>
      <c r="B73" s="10">
        <v>244</v>
      </c>
    </row>
    <row r="74" spans="1:7" ht="18.75" x14ac:dyDescent="0.25">
      <c r="A74" s="8"/>
    </row>
    <row r="75" spans="1:7" ht="18.75" x14ac:dyDescent="0.25">
      <c r="A75" s="250" t="s">
        <v>86</v>
      </c>
      <c r="B75" s="277"/>
      <c r="C75" s="251"/>
      <c r="D75" s="250" t="s">
        <v>131</v>
      </c>
      <c r="E75" s="251"/>
      <c r="F75" s="250" t="s">
        <v>132</v>
      </c>
      <c r="G75" s="251"/>
    </row>
    <row r="76" spans="1:7" ht="54.6" customHeight="1" x14ac:dyDescent="0.3">
      <c r="A76" s="250">
        <v>1</v>
      </c>
      <c r="B76" s="277"/>
      <c r="C76" s="251"/>
      <c r="D76" s="258">
        <v>2</v>
      </c>
      <c r="E76" s="259"/>
      <c r="F76" s="258">
        <v>3</v>
      </c>
      <c r="G76" s="259"/>
    </row>
    <row r="77" spans="1:7" ht="18.75" x14ac:dyDescent="0.3">
      <c r="A77" s="248" t="s">
        <v>384</v>
      </c>
      <c r="B77" s="260"/>
      <c r="C77" s="249"/>
      <c r="D77" s="258"/>
      <c r="E77" s="259"/>
      <c r="F77" s="252"/>
      <c r="G77" s="254"/>
    </row>
    <row r="78" spans="1:7" ht="18.75" x14ac:dyDescent="0.3">
      <c r="A78" s="248" t="s">
        <v>447</v>
      </c>
      <c r="B78" s="260"/>
      <c r="C78" s="249"/>
      <c r="D78" s="258">
        <v>6</v>
      </c>
      <c r="E78" s="259"/>
      <c r="F78" s="252">
        <v>10560</v>
      </c>
      <c r="G78" s="254"/>
    </row>
    <row r="79" spans="1:7" ht="18.75" x14ac:dyDescent="0.3">
      <c r="A79" s="248" t="s">
        <v>146</v>
      </c>
      <c r="B79" s="260"/>
      <c r="C79" s="249"/>
      <c r="D79" s="258"/>
      <c r="E79" s="259"/>
      <c r="F79" s="252">
        <f>'платные на 2022 год '!D57</f>
        <v>10560</v>
      </c>
      <c r="G79" s="254"/>
    </row>
    <row r="80" spans="1:7" ht="18.75" x14ac:dyDescent="0.25">
      <c r="A80" s="8"/>
    </row>
    <row r="81" spans="1:7" ht="31.9" customHeight="1" x14ac:dyDescent="0.25">
      <c r="A81" s="269" t="s">
        <v>221</v>
      </c>
      <c r="B81" s="269"/>
      <c r="C81" s="269"/>
      <c r="D81" s="269"/>
      <c r="E81" s="269"/>
      <c r="F81" s="269"/>
      <c r="G81" s="269"/>
    </row>
    <row r="82" spans="1:7" ht="18.75" x14ac:dyDescent="0.25">
      <c r="A82" s="9"/>
    </row>
    <row r="83" spans="1:7" ht="18.75" x14ac:dyDescent="0.3">
      <c r="A83" s="9" t="s">
        <v>145</v>
      </c>
      <c r="B83" s="10">
        <v>244</v>
      </c>
    </row>
    <row r="84" spans="1:7" ht="18.75" x14ac:dyDescent="0.25">
      <c r="A84" s="8"/>
    </row>
    <row r="85" spans="1:7" ht="18.75" x14ac:dyDescent="0.25">
      <c r="A85" s="250" t="s">
        <v>86</v>
      </c>
      <c r="B85" s="277"/>
      <c r="C85" s="251"/>
      <c r="D85" s="250" t="s">
        <v>137</v>
      </c>
      <c r="E85" s="251"/>
      <c r="F85" s="250" t="s">
        <v>138</v>
      </c>
      <c r="G85" s="251"/>
    </row>
    <row r="86" spans="1:7" ht="18.75" x14ac:dyDescent="0.3">
      <c r="A86" s="250">
        <v>1</v>
      </c>
      <c r="B86" s="277"/>
      <c r="C86" s="251"/>
      <c r="D86" s="258">
        <v>2</v>
      </c>
      <c r="E86" s="259"/>
      <c r="F86" s="258">
        <v>3</v>
      </c>
      <c r="G86" s="259"/>
    </row>
    <row r="87" spans="1:7" ht="18.75" x14ac:dyDescent="0.3">
      <c r="A87" s="248" t="s">
        <v>384</v>
      </c>
      <c r="B87" s="260"/>
      <c r="C87" s="249"/>
      <c r="D87" s="261"/>
      <c r="E87" s="262"/>
      <c r="F87" s="252"/>
      <c r="G87" s="254"/>
    </row>
    <row r="88" spans="1:7" ht="18.75" x14ac:dyDescent="0.3">
      <c r="A88" s="248" t="s">
        <v>139</v>
      </c>
      <c r="B88" s="260"/>
      <c r="C88" s="249"/>
      <c r="D88" s="261">
        <v>1</v>
      </c>
      <c r="E88" s="262"/>
      <c r="F88" s="252">
        <v>16190</v>
      </c>
      <c r="G88" s="254"/>
    </row>
    <row r="89" spans="1:7" ht="18.75" x14ac:dyDescent="0.3">
      <c r="A89" s="248" t="s">
        <v>146</v>
      </c>
      <c r="B89" s="260"/>
      <c r="C89" s="249"/>
      <c r="D89" s="274"/>
      <c r="E89" s="275"/>
      <c r="F89" s="252">
        <f>'платные на 2022 год '!D63</f>
        <v>16190</v>
      </c>
      <c r="G89" s="254"/>
    </row>
    <row r="90" spans="1:7" ht="18.75" x14ac:dyDescent="0.25">
      <c r="A90" s="8"/>
    </row>
    <row r="91" spans="1:7" ht="18.75" x14ac:dyDescent="0.25">
      <c r="A91" s="269" t="s">
        <v>224</v>
      </c>
      <c r="B91" s="269"/>
      <c r="C91" s="269"/>
      <c r="D91" s="269"/>
      <c r="E91" s="269"/>
      <c r="F91" s="269"/>
      <c r="G91" s="269"/>
    </row>
    <row r="92" spans="1:7" ht="18.75" x14ac:dyDescent="0.25">
      <c r="A92" s="9"/>
    </row>
    <row r="93" spans="1:7" ht="18.75" x14ac:dyDescent="0.3">
      <c r="A93" s="9" t="s">
        <v>145</v>
      </c>
      <c r="B93" s="10">
        <v>244</v>
      </c>
    </row>
    <row r="94" spans="1:7" ht="18.75" x14ac:dyDescent="0.25">
      <c r="A94" s="8"/>
    </row>
    <row r="95" spans="1:7" ht="18.75" x14ac:dyDescent="0.25">
      <c r="A95" s="68" t="s">
        <v>86</v>
      </c>
      <c r="B95" s="270" t="s">
        <v>142</v>
      </c>
      <c r="C95" s="270"/>
      <c r="D95" s="270" t="s">
        <v>143</v>
      </c>
      <c r="E95" s="270"/>
      <c r="F95" s="270" t="s">
        <v>150</v>
      </c>
      <c r="G95" s="270"/>
    </row>
    <row r="96" spans="1:7" ht="18.75" x14ac:dyDescent="0.25">
      <c r="A96" s="68">
        <v>1</v>
      </c>
      <c r="B96" s="250">
        <v>2</v>
      </c>
      <c r="C96" s="251"/>
      <c r="D96" s="250">
        <v>3</v>
      </c>
      <c r="E96" s="251"/>
      <c r="F96" s="250">
        <v>4</v>
      </c>
      <c r="G96" s="251"/>
    </row>
    <row r="97" spans="1:7" ht="37.5" x14ac:dyDescent="0.25">
      <c r="A97" s="13" t="s">
        <v>144</v>
      </c>
      <c r="B97" s="250">
        <v>65</v>
      </c>
      <c r="C97" s="251"/>
      <c r="D97" s="250">
        <v>19621.939999999999</v>
      </c>
      <c r="E97" s="251"/>
      <c r="F97" s="244">
        <f>'платные на 2022 год '!D95</f>
        <v>2506445.94</v>
      </c>
      <c r="G97" s="245"/>
    </row>
    <row r="98" spans="1:7" ht="18.75" x14ac:dyDescent="0.25">
      <c r="A98" s="13" t="s">
        <v>146</v>
      </c>
      <c r="B98" s="250"/>
      <c r="C98" s="251"/>
      <c r="D98" s="250"/>
      <c r="E98" s="251"/>
      <c r="F98" s="244">
        <f>F97</f>
        <v>2506445.94</v>
      </c>
      <c r="G98" s="245"/>
    </row>
    <row r="99" spans="1:7" ht="18.75" x14ac:dyDescent="0.25">
      <c r="A99" s="8"/>
    </row>
    <row r="100" spans="1:7" ht="18.75" x14ac:dyDescent="0.25">
      <c r="A100" s="271" t="s">
        <v>251</v>
      </c>
      <c r="B100" s="271"/>
      <c r="C100" s="271"/>
      <c r="D100" s="271"/>
      <c r="E100" s="271"/>
      <c r="F100" s="271"/>
      <c r="G100" s="271"/>
    </row>
    <row r="101" spans="1:7" ht="18.75" x14ac:dyDescent="0.25">
      <c r="A101" s="9"/>
    </row>
    <row r="102" spans="1:7" ht="18.75" x14ac:dyDescent="0.3">
      <c r="A102" s="9" t="s">
        <v>145</v>
      </c>
      <c r="B102" s="10">
        <v>244</v>
      </c>
    </row>
    <row r="103" spans="1:7" ht="18.75" x14ac:dyDescent="0.25">
      <c r="A103" s="8"/>
    </row>
    <row r="104" spans="1:7" ht="18.75" x14ac:dyDescent="0.25">
      <c r="A104" s="68" t="s">
        <v>86</v>
      </c>
      <c r="B104" s="270" t="s">
        <v>142</v>
      </c>
      <c r="C104" s="270"/>
      <c r="D104" s="270" t="s">
        <v>143</v>
      </c>
      <c r="E104" s="270"/>
      <c r="F104" s="270" t="s">
        <v>150</v>
      </c>
      <c r="G104" s="270"/>
    </row>
    <row r="105" spans="1:7" ht="18.75" x14ac:dyDescent="0.25">
      <c r="A105" s="68">
        <v>1</v>
      </c>
      <c r="B105" s="250">
        <v>2</v>
      </c>
      <c r="C105" s="251"/>
      <c r="D105" s="250">
        <v>3</v>
      </c>
      <c r="E105" s="251"/>
      <c r="F105" s="250">
        <v>4</v>
      </c>
      <c r="G105" s="251"/>
    </row>
    <row r="106" spans="1:7" ht="18.75" x14ac:dyDescent="0.25">
      <c r="A106" s="13"/>
      <c r="B106" s="278"/>
      <c r="C106" s="279"/>
      <c r="D106" s="278"/>
      <c r="E106" s="279"/>
      <c r="F106" s="244"/>
      <c r="G106" s="245"/>
    </row>
    <row r="107" spans="1:7" ht="18.75" x14ac:dyDescent="0.25">
      <c r="A107" s="13" t="s">
        <v>237</v>
      </c>
      <c r="B107" s="278"/>
      <c r="C107" s="279"/>
      <c r="D107" s="278"/>
      <c r="E107" s="279"/>
      <c r="F107" s="244">
        <f>'платные на 2022 год '!D99</f>
        <v>0</v>
      </c>
      <c r="G107" s="245"/>
    </row>
    <row r="108" spans="1:7" ht="18.75" x14ac:dyDescent="0.25">
      <c r="A108" s="13"/>
      <c r="B108" s="278"/>
      <c r="C108" s="279"/>
      <c r="D108" s="278"/>
      <c r="E108" s="279"/>
      <c r="F108" s="244"/>
      <c r="G108" s="245"/>
    </row>
    <row r="109" spans="1:7" ht="18.75" x14ac:dyDescent="0.25">
      <c r="A109" s="13" t="s">
        <v>238</v>
      </c>
      <c r="B109" s="278"/>
      <c r="C109" s="279"/>
      <c r="D109" s="278"/>
      <c r="E109" s="279"/>
      <c r="F109" s="244">
        <f>'платные на 2022 год '!D100</f>
        <v>0</v>
      </c>
      <c r="G109" s="245"/>
    </row>
    <row r="110" spans="1:7" ht="18.75" x14ac:dyDescent="0.25">
      <c r="A110" s="13"/>
      <c r="B110" s="278"/>
      <c r="C110" s="279"/>
      <c r="D110" s="278"/>
      <c r="E110" s="279"/>
      <c r="F110" s="244"/>
      <c r="G110" s="245"/>
    </row>
    <row r="111" spans="1:7" ht="18.75" x14ac:dyDescent="0.25">
      <c r="A111" s="13" t="s">
        <v>239</v>
      </c>
      <c r="B111" s="278"/>
      <c r="C111" s="279"/>
      <c r="D111" s="278"/>
      <c r="E111" s="279"/>
      <c r="F111" s="244">
        <f>'платные на 2022 год '!D101</f>
        <v>0</v>
      </c>
      <c r="G111" s="245"/>
    </row>
    <row r="112" spans="1:7" ht="18.75" x14ac:dyDescent="0.25">
      <c r="A112" s="13"/>
      <c r="B112" s="278"/>
      <c r="C112" s="279"/>
      <c r="D112" s="278"/>
      <c r="E112" s="279"/>
      <c r="F112" s="244"/>
      <c r="G112" s="245"/>
    </row>
    <row r="113" spans="1:7" ht="18.75" x14ac:dyDescent="0.25">
      <c r="A113" s="13" t="s">
        <v>240</v>
      </c>
      <c r="B113" s="278"/>
      <c r="C113" s="279"/>
      <c r="D113" s="278"/>
      <c r="E113" s="279"/>
      <c r="F113" s="244">
        <f>'платные на 2022 год '!D102</f>
        <v>0</v>
      </c>
      <c r="G113" s="245"/>
    </row>
    <row r="114" spans="1:7" ht="18.75" x14ac:dyDescent="0.25">
      <c r="A114" s="13"/>
      <c r="B114" s="278"/>
      <c r="C114" s="279"/>
      <c r="D114" s="278"/>
      <c r="E114" s="279"/>
      <c r="F114" s="244"/>
      <c r="G114" s="245"/>
    </row>
    <row r="115" spans="1:7" ht="18.75" x14ac:dyDescent="0.25">
      <c r="A115" s="13" t="s">
        <v>241</v>
      </c>
      <c r="B115" s="278"/>
      <c r="C115" s="279"/>
      <c r="D115" s="278"/>
      <c r="E115" s="279"/>
      <c r="F115" s="244">
        <f>'платные на 2022 год '!D103</f>
        <v>0</v>
      </c>
      <c r="G115" s="245"/>
    </row>
    <row r="116" spans="1:7" ht="18.75" x14ac:dyDescent="0.25">
      <c r="A116" s="13"/>
      <c r="B116" s="278"/>
      <c r="C116" s="279"/>
      <c r="D116" s="278"/>
      <c r="E116" s="279"/>
      <c r="F116" s="244"/>
      <c r="G116" s="245"/>
    </row>
    <row r="117" spans="1:7" ht="18.75" x14ac:dyDescent="0.25">
      <c r="A117" s="13" t="s">
        <v>242</v>
      </c>
      <c r="B117" s="278"/>
      <c r="C117" s="279"/>
      <c r="D117" s="278"/>
      <c r="E117" s="279"/>
      <c r="F117" s="244">
        <f>'платные на 2022 год '!D104</f>
        <v>128107.53</v>
      </c>
      <c r="G117" s="245"/>
    </row>
    <row r="118" spans="1:7" ht="37.5" x14ac:dyDescent="0.25">
      <c r="A118" s="13" t="s">
        <v>348</v>
      </c>
      <c r="B118" s="306" t="s">
        <v>354</v>
      </c>
      <c r="C118" s="307"/>
      <c r="D118" s="244">
        <v>1281.07</v>
      </c>
      <c r="E118" s="245"/>
      <c r="F118" s="244">
        <v>128107.53</v>
      </c>
      <c r="G118" s="245"/>
    </row>
    <row r="119" spans="1:7" ht="18.75" x14ac:dyDescent="0.25">
      <c r="A119" s="13" t="s">
        <v>242</v>
      </c>
      <c r="B119" s="278"/>
      <c r="C119" s="279"/>
      <c r="D119" s="278"/>
      <c r="E119" s="279"/>
      <c r="F119" s="244">
        <f>'платные на 2022 год '!D105</f>
        <v>0</v>
      </c>
      <c r="G119" s="245"/>
    </row>
    <row r="120" spans="1:7" ht="18.75" x14ac:dyDescent="0.25">
      <c r="A120" s="13" t="s">
        <v>243</v>
      </c>
      <c r="B120" s="278">
        <v>3</v>
      </c>
      <c r="C120" s="279"/>
      <c r="D120" s="244">
        <v>3204</v>
      </c>
      <c r="E120" s="245"/>
      <c r="F120" s="244">
        <f>'платные на 2022 год '!D106</f>
        <v>9612</v>
      </c>
      <c r="G120" s="245"/>
    </row>
    <row r="121" spans="1:7" ht="18.75" x14ac:dyDescent="0.25">
      <c r="A121" s="15"/>
      <c r="B121" s="16"/>
      <c r="C121" s="16"/>
      <c r="D121" s="16"/>
      <c r="E121" s="16"/>
      <c r="F121" s="78"/>
      <c r="G121" s="78"/>
    </row>
    <row r="122" spans="1:7" ht="18.75" x14ac:dyDescent="0.25">
      <c r="A122" s="29"/>
    </row>
    <row r="123" spans="1:7" ht="37.5" x14ac:dyDescent="0.3">
      <c r="A123" s="29" t="s">
        <v>151</v>
      </c>
      <c r="B123" s="10"/>
      <c r="C123" s="219"/>
      <c r="D123" s="219"/>
      <c r="E123" s="10"/>
      <c r="F123" s="219" t="s">
        <v>465</v>
      </c>
      <c r="G123" s="219"/>
    </row>
    <row r="124" spans="1:7" ht="18.75" x14ac:dyDescent="0.3">
      <c r="A124" s="29"/>
      <c r="B124" s="10"/>
      <c r="C124" s="218" t="s">
        <v>53</v>
      </c>
      <c r="D124" s="218"/>
      <c r="E124" s="10"/>
      <c r="F124" s="218" t="s">
        <v>54</v>
      </c>
      <c r="G124" s="218"/>
    </row>
    <row r="125" spans="1:7" ht="18.75" x14ac:dyDescent="0.3">
      <c r="A125" s="29"/>
      <c r="B125" s="10"/>
      <c r="C125" s="65"/>
      <c r="D125" s="65"/>
      <c r="E125" s="10"/>
      <c r="F125" s="65"/>
      <c r="G125" s="65"/>
    </row>
    <row r="126" spans="1:7" ht="56.25" x14ac:dyDescent="0.3">
      <c r="A126" s="29" t="s">
        <v>152</v>
      </c>
      <c r="B126" s="10"/>
      <c r="C126" s="219"/>
      <c r="D126" s="219"/>
      <c r="E126" s="10"/>
      <c r="F126" s="219" t="s">
        <v>341</v>
      </c>
      <c r="G126" s="219"/>
    </row>
    <row r="127" spans="1:7" ht="18.75" x14ac:dyDescent="0.3">
      <c r="A127" s="29"/>
      <c r="B127" s="10"/>
      <c r="C127" s="218" t="s">
        <v>53</v>
      </c>
      <c r="D127" s="218"/>
      <c r="E127" s="10"/>
      <c r="F127" s="218" t="s">
        <v>54</v>
      </c>
      <c r="G127" s="218"/>
    </row>
    <row r="128" spans="1:7" ht="18.75" x14ac:dyDescent="0.3">
      <c r="A128" s="29"/>
      <c r="B128" s="10"/>
      <c r="C128" s="65"/>
      <c r="D128" s="65"/>
      <c r="E128" s="10"/>
      <c r="F128" s="65"/>
      <c r="G128" s="65"/>
    </row>
    <row r="129" spans="1:7" ht="18.75" x14ac:dyDescent="0.3">
      <c r="A129" s="29" t="s">
        <v>153</v>
      </c>
      <c r="B129" s="10"/>
      <c r="C129" s="219"/>
      <c r="D129" s="219"/>
      <c r="E129" s="10"/>
      <c r="F129" s="219" t="s">
        <v>341</v>
      </c>
      <c r="G129" s="219"/>
    </row>
    <row r="130" spans="1:7" ht="18.75" x14ac:dyDescent="0.3">
      <c r="A130" s="29"/>
      <c r="B130" s="10"/>
      <c r="C130" s="218" t="s">
        <v>53</v>
      </c>
      <c r="D130" s="218"/>
      <c r="E130" s="10"/>
      <c r="F130" s="218" t="s">
        <v>54</v>
      </c>
      <c r="G130" s="218"/>
    </row>
    <row r="131" spans="1:7" ht="18.75" x14ac:dyDescent="0.3">
      <c r="A131" s="29" t="s">
        <v>154</v>
      </c>
      <c r="B131" s="10"/>
      <c r="C131" s="10"/>
      <c r="D131" s="10"/>
      <c r="E131" s="10"/>
      <c r="F131" s="10"/>
      <c r="G131" s="10"/>
    </row>
    <row r="132" spans="1:7" ht="18.75" x14ac:dyDescent="0.3">
      <c r="A132" s="217" t="s">
        <v>44</v>
      </c>
      <c r="B132" s="217"/>
      <c r="C132" s="10"/>
      <c r="D132" s="10"/>
      <c r="E132" s="10"/>
      <c r="F132" s="10"/>
      <c r="G132" s="10"/>
    </row>
  </sheetData>
  <mergeCells count="185">
    <mergeCell ref="F56:G56"/>
    <mergeCell ref="D56:E56"/>
    <mergeCell ref="B56:C56"/>
    <mergeCell ref="F55:G55"/>
    <mergeCell ref="D55:E55"/>
    <mergeCell ref="B55:C55"/>
    <mergeCell ref="A79:C79"/>
    <mergeCell ref="D79:E79"/>
    <mergeCell ref="F79:G79"/>
    <mergeCell ref="A78:C78"/>
    <mergeCell ref="D78:E78"/>
    <mergeCell ref="F78:G78"/>
    <mergeCell ref="A72:G72"/>
    <mergeCell ref="A75:C75"/>
    <mergeCell ref="D75:E75"/>
    <mergeCell ref="F75:G75"/>
    <mergeCell ref="A76:C76"/>
    <mergeCell ref="D76:E76"/>
    <mergeCell ref="F76:G76"/>
    <mergeCell ref="A77:C77"/>
    <mergeCell ref="D77:E77"/>
    <mergeCell ref="F77:G77"/>
    <mergeCell ref="A13:G13"/>
    <mergeCell ref="A17:C17"/>
    <mergeCell ref="D17:G17"/>
    <mergeCell ref="A18:C18"/>
    <mergeCell ref="D18:G18"/>
    <mergeCell ref="A19:C19"/>
    <mergeCell ref="D19:G19"/>
    <mergeCell ref="F118:G118"/>
    <mergeCell ref="B120:C120"/>
    <mergeCell ref="D120:E120"/>
    <mergeCell ref="F120:G120"/>
    <mergeCell ref="B116:C116"/>
    <mergeCell ref="D116:E116"/>
    <mergeCell ref="B117:C117"/>
    <mergeCell ref="D117:E117"/>
    <mergeCell ref="B118:C118"/>
    <mergeCell ref="D118:E118"/>
    <mergeCell ref="F116:G116"/>
    <mergeCell ref="B114:C114"/>
    <mergeCell ref="D114:E114"/>
    <mergeCell ref="B115:C115"/>
    <mergeCell ref="D115:E115"/>
    <mergeCell ref="B112:C112"/>
    <mergeCell ref="D112:E112"/>
    <mergeCell ref="A132:B132"/>
    <mergeCell ref="C127:D127"/>
    <mergeCell ref="F127:G127"/>
    <mergeCell ref="C129:D129"/>
    <mergeCell ref="F129:G129"/>
    <mergeCell ref="C130:D130"/>
    <mergeCell ref="F130:G130"/>
    <mergeCell ref="C123:D123"/>
    <mergeCell ref="F123:G123"/>
    <mergeCell ref="C124:D124"/>
    <mergeCell ref="F124:G124"/>
    <mergeCell ref="C126:D126"/>
    <mergeCell ref="F126:G126"/>
    <mergeCell ref="F112:G112"/>
    <mergeCell ref="B113:C113"/>
    <mergeCell ref="D113:E113"/>
    <mergeCell ref="F115:G115"/>
    <mergeCell ref="B110:C110"/>
    <mergeCell ref="D110:E110"/>
    <mergeCell ref="B111:C111"/>
    <mergeCell ref="D111:E111"/>
    <mergeCell ref="B108:C108"/>
    <mergeCell ref="D108:E108"/>
    <mergeCell ref="F108:G108"/>
    <mergeCell ref="B109:C109"/>
    <mergeCell ref="D109:E109"/>
    <mergeCell ref="F109:G109"/>
    <mergeCell ref="B106:C106"/>
    <mergeCell ref="D106:E106"/>
    <mergeCell ref="B107:C107"/>
    <mergeCell ref="D107:E107"/>
    <mergeCell ref="A100:G100"/>
    <mergeCell ref="B104:C104"/>
    <mergeCell ref="D104:E104"/>
    <mergeCell ref="F104:G104"/>
    <mergeCell ref="B105:C105"/>
    <mergeCell ref="D105:E105"/>
    <mergeCell ref="F105:G105"/>
    <mergeCell ref="B97:C97"/>
    <mergeCell ref="D97:E97"/>
    <mergeCell ref="F97:G97"/>
    <mergeCell ref="B98:C98"/>
    <mergeCell ref="D98:E98"/>
    <mergeCell ref="F98:G98"/>
    <mergeCell ref="A91:G91"/>
    <mergeCell ref="B95:C95"/>
    <mergeCell ref="D95:E95"/>
    <mergeCell ref="F95:G95"/>
    <mergeCell ref="B96:C96"/>
    <mergeCell ref="D96:E96"/>
    <mergeCell ref="F96:G96"/>
    <mergeCell ref="A24:G24"/>
    <mergeCell ref="A28:A30"/>
    <mergeCell ref="B28:B30"/>
    <mergeCell ref="C28:F28"/>
    <mergeCell ref="G28:G30"/>
    <mergeCell ref="C29:C30"/>
    <mergeCell ref="D29:F29"/>
    <mergeCell ref="F117:G117"/>
    <mergeCell ref="F110:G110"/>
    <mergeCell ref="F111:G111"/>
    <mergeCell ref="F106:G106"/>
    <mergeCell ref="F107:G107"/>
    <mergeCell ref="F113:G113"/>
    <mergeCell ref="F114:G114"/>
    <mergeCell ref="B42:C42"/>
    <mergeCell ref="D42:E42"/>
    <mergeCell ref="F42:G42"/>
    <mergeCell ref="A44:G44"/>
    <mergeCell ref="C48:D48"/>
    <mergeCell ref="F48:G48"/>
    <mergeCell ref="C49:D49"/>
    <mergeCell ref="F49:G49"/>
    <mergeCell ref="C50:D50"/>
    <mergeCell ref="F50:G50"/>
    <mergeCell ref="B119:C119"/>
    <mergeCell ref="D119:E119"/>
    <mergeCell ref="F119:G119"/>
    <mergeCell ref="B11:C11"/>
    <mergeCell ref="D11:E11"/>
    <mergeCell ref="F11:G11"/>
    <mergeCell ref="B9:C9"/>
    <mergeCell ref="D9:E9"/>
    <mergeCell ref="A1:G1"/>
    <mergeCell ref="A3:G3"/>
    <mergeCell ref="A4:G4"/>
    <mergeCell ref="F9:G9"/>
    <mergeCell ref="B10:C10"/>
    <mergeCell ref="D10:E10"/>
    <mergeCell ref="F10:G10"/>
    <mergeCell ref="A35:G35"/>
    <mergeCell ref="A39:A40"/>
    <mergeCell ref="B39:C40"/>
    <mergeCell ref="D39:E40"/>
    <mergeCell ref="F39:G40"/>
    <mergeCell ref="B41:C41"/>
    <mergeCell ref="D41:E41"/>
    <mergeCell ref="F41:G41"/>
    <mergeCell ref="A22:G22"/>
    <mergeCell ref="A89:C89"/>
    <mergeCell ref="D89:E89"/>
    <mergeCell ref="F89:G89"/>
    <mergeCell ref="A88:C88"/>
    <mergeCell ref="D88:E88"/>
    <mergeCell ref="F88:G88"/>
    <mergeCell ref="A81:G81"/>
    <mergeCell ref="A85:C85"/>
    <mergeCell ref="D85:E85"/>
    <mergeCell ref="F85:G85"/>
    <mergeCell ref="A86:C86"/>
    <mergeCell ref="D86:E86"/>
    <mergeCell ref="F86:G86"/>
    <mergeCell ref="A87:C87"/>
    <mergeCell ref="D87:E87"/>
    <mergeCell ref="F87:G87"/>
    <mergeCell ref="A52:G52"/>
    <mergeCell ref="D68:E68"/>
    <mergeCell ref="F68:G68"/>
    <mergeCell ref="D69:E69"/>
    <mergeCell ref="F69:G69"/>
    <mergeCell ref="D70:E70"/>
    <mergeCell ref="F70:G70"/>
    <mergeCell ref="F64:G64"/>
    <mergeCell ref="B68:C68"/>
    <mergeCell ref="B69:C69"/>
    <mergeCell ref="B70:C70"/>
    <mergeCell ref="B62:C62"/>
    <mergeCell ref="D62:E62"/>
    <mergeCell ref="F62:G62"/>
    <mergeCell ref="B63:C63"/>
    <mergeCell ref="D63:E63"/>
    <mergeCell ref="F63:G63"/>
    <mergeCell ref="B64:C64"/>
    <mergeCell ref="D64:E64"/>
    <mergeCell ref="D58:E58"/>
    <mergeCell ref="B58:C58"/>
    <mergeCell ref="F57:G58"/>
    <mergeCell ref="D57:E57"/>
    <mergeCell ref="B57:C57"/>
  </mergeCells>
  <pageMargins left="1.3779527559055118" right="0.39370078740157483" top="0.98425196850393704" bottom="0.78740157480314965" header="0.31496062992125984" footer="0.31496062992125984"/>
  <pageSetup paperSize="9" scale="61" orientation="portrait" r:id="rId1"/>
  <rowBreaks count="1" manualBreakCount="1">
    <brk id="4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08"/>
  <sheetViews>
    <sheetView view="pageBreakPreview" zoomScaleNormal="100" zoomScaleSheetLayoutView="100" workbookViewId="0">
      <selection activeCell="E79" sqref="E7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42578125" style="7" customWidth="1"/>
    <col min="7" max="8" width="8.85546875" style="7"/>
    <col min="9" max="9" width="12.28515625" style="7" bestFit="1" customWidth="1"/>
    <col min="10" max="16384" width="8.85546875" style="7"/>
  </cols>
  <sheetData>
    <row r="1" spans="1:6" ht="18.75" x14ac:dyDescent="0.25">
      <c r="A1" s="232" t="s">
        <v>191</v>
      </c>
      <c r="B1" s="232"/>
      <c r="C1" s="232"/>
      <c r="D1" s="232"/>
      <c r="E1" s="232"/>
      <c r="F1" s="232"/>
    </row>
    <row r="2" spans="1:6" ht="18.75" x14ac:dyDescent="0.25">
      <c r="A2" s="232" t="s">
        <v>472</v>
      </c>
      <c r="B2" s="232"/>
      <c r="C2" s="232"/>
      <c r="D2" s="232"/>
      <c r="E2" s="232"/>
      <c r="F2" s="232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2</v>
      </c>
      <c r="F5" s="236"/>
    </row>
    <row r="6" spans="1:6" ht="126.75" thickBot="1" x14ac:dyDescent="0.3">
      <c r="A6" s="225"/>
      <c r="B6" s="227"/>
      <c r="C6" s="229"/>
      <c r="D6" s="227"/>
      <c r="E6" s="120" t="s">
        <v>3</v>
      </c>
      <c r="F6" s="38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2">
        <v>0</v>
      </c>
    </row>
    <row r="9" spans="1:6" ht="56.25" x14ac:dyDescent="0.25">
      <c r="A9" s="121" t="s">
        <v>48</v>
      </c>
      <c r="B9" s="123" t="s">
        <v>5</v>
      </c>
      <c r="C9" s="123" t="s">
        <v>5</v>
      </c>
      <c r="D9" s="5">
        <f t="shared" ref="D9:D69" si="0">E9+F9</f>
        <v>0</v>
      </c>
      <c r="E9" s="5">
        <f>E10+E8-E16+E98</f>
        <v>0</v>
      </c>
      <c r="F9" s="31">
        <f>F10+F8-F16+F98</f>
        <v>0</v>
      </c>
    </row>
    <row r="10" spans="1:6" ht="18.75" x14ac:dyDescent="0.25">
      <c r="A10" s="121" t="s">
        <v>49</v>
      </c>
      <c r="B10" s="123" t="s">
        <v>5</v>
      </c>
      <c r="C10" s="123" t="s">
        <v>5</v>
      </c>
      <c r="D10" s="2">
        <f>E10+F10</f>
        <v>0</v>
      </c>
      <c r="E10" s="2">
        <f>E12</f>
        <v>0</v>
      </c>
      <c r="F10" s="4">
        <f>F12</f>
        <v>0</v>
      </c>
    </row>
    <row r="11" spans="1:6" ht="18.75" x14ac:dyDescent="0.25">
      <c r="A11" s="121" t="s">
        <v>6</v>
      </c>
      <c r="B11" s="123"/>
      <c r="C11" s="123"/>
      <c r="D11" s="2"/>
      <c r="E11" s="2"/>
      <c r="F11" s="4"/>
    </row>
    <row r="12" spans="1:6" ht="18.75" x14ac:dyDescent="0.25">
      <c r="A12" s="121" t="s">
        <v>62</v>
      </c>
      <c r="B12" s="123">
        <v>150</v>
      </c>
      <c r="C12" s="123" t="s">
        <v>5</v>
      </c>
      <c r="D12" s="2">
        <f t="shared" si="0"/>
        <v>0</v>
      </c>
      <c r="E12" s="2">
        <f>SUM(E13:E15)</f>
        <v>0</v>
      </c>
      <c r="F12" s="4">
        <f>SUM(F13:F14)</f>
        <v>0</v>
      </c>
    </row>
    <row r="13" spans="1:6" ht="18.75" x14ac:dyDescent="0.25">
      <c r="A13" s="121" t="s">
        <v>6</v>
      </c>
      <c r="B13" s="123"/>
      <c r="C13" s="123"/>
      <c r="D13" s="2">
        <f t="shared" si="0"/>
        <v>0</v>
      </c>
      <c r="E13" s="2"/>
      <c r="F13" s="4"/>
    </row>
    <row r="14" spans="1:6" ht="56.25" x14ac:dyDescent="0.25">
      <c r="A14" s="121" t="s">
        <v>448</v>
      </c>
      <c r="B14" s="123"/>
      <c r="C14" s="123"/>
      <c r="D14" s="2">
        <f>E14+F14</f>
        <v>0</v>
      </c>
      <c r="E14" s="2">
        <v>0</v>
      </c>
      <c r="F14" s="4">
        <v>0</v>
      </c>
    </row>
    <row r="15" spans="1:6" ht="112.5" x14ac:dyDescent="0.25">
      <c r="A15" s="178" t="s">
        <v>370</v>
      </c>
      <c r="B15" s="179"/>
      <c r="C15" s="179"/>
      <c r="D15" s="2">
        <f t="shared" ref="D15" si="1">E15+F15</f>
        <v>0</v>
      </c>
      <c r="E15" s="2">
        <v>0</v>
      </c>
      <c r="F15" s="4">
        <v>0</v>
      </c>
    </row>
    <row r="16" spans="1:6" ht="18.75" x14ac:dyDescent="0.25">
      <c r="A16" s="121" t="s">
        <v>7</v>
      </c>
      <c r="B16" s="123" t="s">
        <v>5</v>
      </c>
      <c r="C16" s="123">
        <v>900</v>
      </c>
      <c r="D16" s="5">
        <f t="shared" si="0"/>
        <v>0</v>
      </c>
      <c r="E16" s="2">
        <f>E18+E84</f>
        <v>0</v>
      </c>
      <c r="F16" s="4">
        <f>F18+F84</f>
        <v>0</v>
      </c>
    </row>
    <row r="17" spans="1:6" ht="18.75" x14ac:dyDescent="0.25">
      <c r="A17" s="121" t="s">
        <v>6</v>
      </c>
      <c r="B17" s="123"/>
      <c r="C17" s="123"/>
      <c r="D17" s="5"/>
      <c r="E17" s="2"/>
      <c r="F17" s="4"/>
    </row>
    <row r="18" spans="1:6" ht="18.75" x14ac:dyDescent="0.25">
      <c r="A18" s="121" t="s">
        <v>8</v>
      </c>
      <c r="B18" s="123" t="s">
        <v>5</v>
      </c>
      <c r="C18" s="123">
        <v>200</v>
      </c>
      <c r="D18" s="5">
        <f t="shared" si="0"/>
        <v>0</v>
      </c>
      <c r="E18" s="2">
        <f>E20+E28+E57+E64</f>
        <v>0</v>
      </c>
      <c r="F18" s="4">
        <f>F20+F28+F57+F64</f>
        <v>0</v>
      </c>
    </row>
    <row r="19" spans="1:6" ht="14.45" customHeight="1" x14ac:dyDescent="0.25">
      <c r="A19" s="121" t="s">
        <v>9</v>
      </c>
      <c r="B19" s="123"/>
      <c r="C19" s="123"/>
      <c r="D19" s="5"/>
      <c r="E19" s="2"/>
      <c r="F19" s="4"/>
    </row>
    <row r="20" spans="1:6" ht="75" x14ac:dyDescent="0.25">
      <c r="A20" s="121" t="s">
        <v>10</v>
      </c>
      <c r="B20" s="123" t="s">
        <v>5</v>
      </c>
      <c r="C20" s="123">
        <v>210</v>
      </c>
      <c r="D20" s="5">
        <f t="shared" si="0"/>
        <v>0</v>
      </c>
      <c r="E20" s="2">
        <f>E22+E23+E24+E25</f>
        <v>0</v>
      </c>
      <c r="F20" s="4">
        <f>F22+F23+F24+F25</f>
        <v>0</v>
      </c>
    </row>
    <row r="21" spans="1:6" ht="18.75" x14ac:dyDescent="0.25">
      <c r="A21" s="121" t="s">
        <v>9</v>
      </c>
      <c r="B21" s="123"/>
      <c r="C21" s="123"/>
      <c r="D21" s="5"/>
      <c r="E21" s="2"/>
      <c r="F21" s="4"/>
    </row>
    <row r="22" spans="1:6" ht="18.75" x14ac:dyDescent="0.25">
      <c r="A22" s="121" t="s">
        <v>11</v>
      </c>
      <c r="B22" s="123">
        <v>111</v>
      </c>
      <c r="C22" s="123">
        <v>211</v>
      </c>
      <c r="D22" s="5">
        <f t="shared" si="0"/>
        <v>0</v>
      </c>
      <c r="E22" s="2">
        <v>0</v>
      </c>
      <c r="F22" s="4"/>
    </row>
    <row r="23" spans="1:6" ht="75" x14ac:dyDescent="0.25">
      <c r="A23" s="121" t="s">
        <v>12</v>
      </c>
      <c r="B23" s="123">
        <v>112</v>
      </c>
      <c r="C23" s="123">
        <v>212</v>
      </c>
      <c r="D23" s="5">
        <f t="shared" si="0"/>
        <v>0</v>
      </c>
      <c r="E23" s="2">
        <v>0</v>
      </c>
      <c r="F23" s="4"/>
    </row>
    <row r="24" spans="1:6" ht="56.25" x14ac:dyDescent="0.25">
      <c r="A24" s="121" t="s">
        <v>13</v>
      </c>
      <c r="B24" s="123">
        <v>119</v>
      </c>
      <c r="C24" s="123">
        <v>213</v>
      </c>
      <c r="D24" s="5">
        <f t="shared" si="0"/>
        <v>0</v>
      </c>
      <c r="E24" s="2">
        <v>0</v>
      </c>
      <c r="F24" s="4"/>
    </row>
    <row r="25" spans="1:6" ht="93.75" x14ac:dyDescent="0.25">
      <c r="A25" s="121" t="s">
        <v>201</v>
      </c>
      <c r="B25" s="123" t="s">
        <v>5</v>
      </c>
      <c r="C25" s="123">
        <v>214</v>
      </c>
      <c r="D25" s="5">
        <f>E25+F25</f>
        <v>0</v>
      </c>
      <c r="E25" s="2">
        <f>E26+E27</f>
        <v>0</v>
      </c>
      <c r="F25" s="4">
        <f>F26+F27</f>
        <v>0</v>
      </c>
    </row>
    <row r="26" spans="1:6" ht="18.75" x14ac:dyDescent="0.25">
      <c r="A26" s="308" t="s">
        <v>6</v>
      </c>
      <c r="B26" s="123">
        <v>112</v>
      </c>
      <c r="C26" s="123">
        <v>214</v>
      </c>
      <c r="D26" s="5">
        <f t="shared" si="0"/>
        <v>0</v>
      </c>
      <c r="E26" s="2">
        <v>0</v>
      </c>
      <c r="F26" s="4"/>
    </row>
    <row r="27" spans="1:6" ht="25.15" customHeight="1" x14ac:dyDescent="0.25">
      <c r="A27" s="309"/>
      <c r="B27" s="123">
        <v>244</v>
      </c>
      <c r="C27" s="123">
        <v>214</v>
      </c>
      <c r="D27" s="5">
        <v>0</v>
      </c>
      <c r="E27" s="2">
        <v>0</v>
      </c>
      <c r="F27" s="4"/>
    </row>
    <row r="28" spans="1:6" ht="37.5" x14ac:dyDescent="0.25">
      <c r="A28" s="121" t="s">
        <v>14</v>
      </c>
      <c r="B28" s="123" t="s">
        <v>5</v>
      </c>
      <c r="C28" s="123">
        <v>220</v>
      </c>
      <c r="D28" s="5">
        <f t="shared" si="0"/>
        <v>0</v>
      </c>
      <c r="E28" s="2">
        <f>E30+E31+E34+E45+E46+E49+E55+E56</f>
        <v>0</v>
      </c>
      <c r="F28" s="4">
        <f>F30+F31+F34+F45+F46+F49+F55</f>
        <v>0</v>
      </c>
    </row>
    <row r="29" spans="1:6" ht="18.75" x14ac:dyDescent="0.25">
      <c r="A29" s="121" t="s">
        <v>9</v>
      </c>
      <c r="B29" s="123"/>
      <c r="C29" s="123"/>
      <c r="D29" s="5"/>
      <c r="E29" s="2"/>
      <c r="F29" s="4"/>
    </row>
    <row r="30" spans="1:6" ht="18.75" x14ac:dyDescent="0.25">
      <c r="A30" s="121" t="s">
        <v>15</v>
      </c>
      <c r="B30" s="123">
        <v>244</v>
      </c>
      <c r="C30" s="123">
        <v>221</v>
      </c>
      <c r="D30" s="5">
        <f t="shared" si="0"/>
        <v>0</v>
      </c>
      <c r="E30" s="2">
        <v>0</v>
      </c>
      <c r="F30" s="4"/>
    </row>
    <row r="31" spans="1:6" ht="37.5" x14ac:dyDescent="0.25">
      <c r="A31" s="121" t="s">
        <v>16</v>
      </c>
      <c r="B31" s="123" t="s">
        <v>5</v>
      </c>
      <c r="C31" s="123">
        <v>222</v>
      </c>
      <c r="D31" s="5">
        <f t="shared" si="0"/>
        <v>0</v>
      </c>
      <c r="E31" s="2">
        <f>E32+E33</f>
        <v>0</v>
      </c>
      <c r="F31" s="4">
        <f>F32+F33</f>
        <v>0</v>
      </c>
    </row>
    <row r="32" spans="1:6" ht="22.9" customHeight="1" x14ac:dyDescent="0.25">
      <c r="A32" s="216" t="s">
        <v>6</v>
      </c>
      <c r="B32" s="123">
        <v>112</v>
      </c>
      <c r="C32" s="123">
        <v>222</v>
      </c>
      <c r="D32" s="5">
        <f t="shared" si="0"/>
        <v>0</v>
      </c>
      <c r="E32" s="2">
        <v>0</v>
      </c>
      <c r="F32" s="4"/>
    </row>
    <row r="33" spans="1:6" ht="18.75" x14ac:dyDescent="0.25">
      <c r="A33" s="216"/>
      <c r="B33" s="123">
        <v>244</v>
      </c>
      <c r="C33" s="123">
        <v>222</v>
      </c>
      <c r="D33" s="5">
        <f t="shared" si="0"/>
        <v>0</v>
      </c>
      <c r="E33" s="2">
        <v>0</v>
      </c>
      <c r="F33" s="4"/>
    </row>
    <row r="34" spans="1:6" ht="37.5" x14ac:dyDescent="0.25">
      <c r="A34" s="121" t="s">
        <v>17</v>
      </c>
      <c r="B34" s="123" t="s">
        <v>5</v>
      </c>
      <c r="C34" s="123">
        <v>223</v>
      </c>
      <c r="D34" s="5">
        <f t="shared" si="0"/>
        <v>0</v>
      </c>
      <c r="E34" s="2">
        <f>E37+E39+E41+E42+E43</f>
        <v>0</v>
      </c>
      <c r="F34" s="4">
        <f t="shared" ref="F34" si="2">F37+F39+F41+F42+F43</f>
        <v>0</v>
      </c>
    </row>
    <row r="35" spans="1:6" ht="18.75" x14ac:dyDescent="0.25">
      <c r="A35" s="121" t="s">
        <v>6</v>
      </c>
      <c r="B35" s="123"/>
      <c r="C35" s="123"/>
      <c r="D35" s="5"/>
      <c r="E35" s="2"/>
      <c r="F35" s="4"/>
    </row>
    <row r="36" spans="1:6" ht="56.25" x14ac:dyDescent="0.25">
      <c r="A36" s="190" t="s">
        <v>18</v>
      </c>
      <c r="B36" s="191">
        <v>244</v>
      </c>
      <c r="C36" s="191">
        <v>223</v>
      </c>
      <c r="D36" s="5">
        <f t="shared" ref="D36" si="3">E36+F36</f>
        <v>0</v>
      </c>
      <c r="E36" s="2">
        <v>0</v>
      </c>
      <c r="F36" s="4"/>
    </row>
    <row r="37" spans="1:6" ht="56.25" x14ac:dyDescent="0.25">
      <c r="A37" s="121" t="s">
        <v>18</v>
      </c>
      <c r="B37" s="123">
        <v>247</v>
      </c>
      <c r="C37" s="123">
        <v>223</v>
      </c>
      <c r="D37" s="5">
        <f t="shared" si="0"/>
        <v>0</v>
      </c>
      <c r="E37" s="2">
        <v>0</v>
      </c>
      <c r="F37" s="4"/>
    </row>
    <row r="38" spans="1:6" ht="37.5" x14ac:dyDescent="0.25">
      <c r="A38" s="190" t="s">
        <v>19</v>
      </c>
      <c r="B38" s="191">
        <v>244</v>
      </c>
      <c r="C38" s="191">
        <v>223</v>
      </c>
      <c r="D38" s="5">
        <f t="shared" ref="D38" si="4">E38+F38</f>
        <v>0</v>
      </c>
      <c r="E38" s="2">
        <v>0</v>
      </c>
      <c r="F38" s="4"/>
    </row>
    <row r="39" spans="1:6" ht="37.5" x14ac:dyDescent="0.25">
      <c r="A39" s="121" t="s">
        <v>19</v>
      </c>
      <c r="B39" s="123">
        <v>247</v>
      </c>
      <c r="C39" s="123">
        <v>223</v>
      </c>
      <c r="D39" s="5">
        <f t="shared" si="0"/>
        <v>0</v>
      </c>
      <c r="E39" s="2">
        <v>0</v>
      </c>
      <c r="F39" s="4"/>
    </row>
    <row r="40" spans="1:6" ht="75" x14ac:dyDescent="0.25">
      <c r="A40" s="190" t="s">
        <v>20</v>
      </c>
      <c r="B40" s="191">
        <v>244</v>
      </c>
      <c r="C40" s="191">
        <v>223</v>
      </c>
      <c r="D40" s="5">
        <f t="shared" ref="D40" si="5">E40+F40</f>
        <v>0</v>
      </c>
      <c r="E40" s="2">
        <v>0</v>
      </c>
      <c r="F40" s="4"/>
    </row>
    <row r="41" spans="1:6" ht="75" x14ac:dyDescent="0.25">
      <c r="A41" s="121" t="s">
        <v>20</v>
      </c>
      <c r="B41" s="123">
        <v>247</v>
      </c>
      <c r="C41" s="123">
        <v>223</v>
      </c>
      <c r="D41" s="5">
        <f t="shared" si="0"/>
        <v>0</v>
      </c>
      <c r="E41" s="2">
        <v>0</v>
      </c>
      <c r="F41" s="4"/>
    </row>
    <row r="42" spans="1:6" ht="75" x14ac:dyDescent="0.25">
      <c r="A42" s="121" t="s">
        <v>21</v>
      </c>
      <c r="B42" s="123">
        <v>244</v>
      </c>
      <c r="C42" s="123">
        <v>223</v>
      </c>
      <c r="D42" s="5">
        <f t="shared" si="0"/>
        <v>0</v>
      </c>
      <c r="E42" s="2">
        <v>0</v>
      </c>
      <c r="F42" s="4"/>
    </row>
    <row r="43" spans="1:6" ht="56.25" x14ac:dyDescent="0.25">
      <c r="A43" s="121" t="s">
        <v>22</v>
      </c>
      <c r="B43" s="123">
        <v>244</v>
      </c>
      <c r="C43" s="123">
        <v>223</v>
      </c>
      <c r="D43" s="5">
        <f t="shared" si="0"/>
        <v>0</v>
      </c>
      <c r="E43" s="2">
        <v>0</v>
      </c>
      <c r="F43" s="4"/>
    </row>
    <row r="44" spans="1:6" ht="56.25" x14ac:dyDescent="0.25">
      <c r="A44" s="195" t="s">
        <v>446</v>
      </c>
      <c r="B44" s="196">
        <v>244</v>
      </c>
      <c r="C44" s="196">
        <v>223</v>
      </c>
      <c r="D44" s="5">
        <f t="shared" ref="D44" si="6">E44+F44</f>
        <v>0</v>
      </c>
      <c r="E44" s="2">
        <v>0</v>
      </c>
      <c r="F44" s="4"/>
    </row>
    <row r="45" spans="1:6" ht="145.9" customHeight="1" x14ac:dyDescent="0.25">
      <c r="A45" s="121" t="s">
        <v>23</v>
      </c>
      <c r="B45" s="123">
        <v>244</v>
      </c>
      <c r="C45" s="123">
        <v>224</v>
      </c>
      <c r="D45" s="5">
        <f t="shared" si="0"/>
        <v>0</v>
      </c>
      <c r="E45" s="2">
        <v>0</v>
      </c>
      <c r="F45" s="4"/>
    </row>
    <row r="46" spans="1:6" ht="56.25" x14ac:dyDescent="0.25">
      <c r="A46" s="121" t="s">
        <v>24</v>
      </c>
      <c r="B46" s="123" t="s">
        <v>5</v>
      </c>
      <c r="C46" s="123">
        <v>225</v>
      </c>
      <c r="D46" s="2">
        <f t="shared" ref="D46:F46" si="7">D47+D48</f>
        <v>0</v>
      </c>
      <c r="E46" s="2">
        <f>E47+E48</f>
        <v>0</v>
      </c>
      <c r="F46" s="4">
        <f t="shared" si="7"/>
        <v>0</v>
      </c>
    </row>
    <row r="47" spans="1:6" ht="18.75" x14ac:dyDescent="0.25">
      <c r="A47" s="216" t="s">
        <v>6</v>
      </c>
      <c r="B47" s="123">
        <v>243</v>
      </c>
      <c r="C47" s="123">
        <v>225</v>
      </c>
      <c r="D47" s="5">
        <f t="shared" si="0"/>
        <v>0</v>
      </c>
      <c r="E47" s="2">
        <v>0</v>
      </c>
      <c r="F47" s="4"/>
    </row>
    <row r="48" spans="1:6" ht="18.75" x14ac:dyDescent="0.25">
      <c r="A48" s="216"/>
      <c r="B48" s="123">
        <v>244</v>
      </c>
      <c r="C48" s="123">
        <v>225</v>
      </c>
      <c r="D48" s="5">
        <f t="shared" si="0"/>
        <v>0</v>
      </c>
      <c r="E48" s="2">
        <v>0</v>
      </c>
      <c r="F48" s="4"/>
    </row>
    <row r="49" spans="1:6" ht="37.5" x14ac:dyDescent="0.25">
      <c r="A49" s="121" t="s">
        <v>58</v>
      </c>
      <c r="B49" s="123" t="s">
        <v>5</v>
      </c>
      <c r="C49" s="123">
        <v>226</v>
      </c>
      <c r="D49" s="5">
        <f t="shared" si="0"/>
        <v>0</v>
      </c>
      <c r="E49" s="2">
        <f>E50+E51+E53+E54+E52</f>
        <v>0</v>
      </c>
      <c r="F49" s="4">
        <f>F50+F51+F53+F54+F52</f>
        <v>0</v>
      </c>
    </row>
    <row r="50" spans="1:6" ht="18.75" x14ac:dyDescent="0.25">
      <c r="A50" s="216" t="s">
        <v>6</v>
      </c>
      <c r="B50" s="123">
        <v>112</v>
      </c>
      <c r="C50" s="123">
        <v>226</v>
      </c>
      <c r="D50" s="5">
        <f t="shared" si="0"/>
        <v>0</v>
      </c>
      <c r="E50" s="2">
        <v>0</v>
      </c>
      <c r="F50" s="4"/>
    </row>
    <row r="51" spans="1:6" ht="18.75" x14ac:dyDescent="0.25">
      <c r="A51" s="216"/>
      <c r="B51" s="123">
        <v>113</v>
      </c>
      <c r="C51" s="123">
        <v>226</v>
      </c>
      <c r="D51" s="5">
        <f t="shared" si="0"/>
        <v>0</v>
      </c>
      <c r="E51" s="2">
        <v>0</v>
      </c>
      <c r="F51" s="4"/>
    </row>
    <row r="52" spans="1:6" ht="18.75" x14ac:dyDescent="0.25">
      <c r="A52" s="216"/>
      <c r="B52" s="123">
        <v>119</v>
      </c>
      <c r="C52" s="123">
        <v>226</v>
      </c>
      <c r="D52" s="5">
        <f t="shared" si="0"/>
        <v>0</v>
      </c>
      <c r="E52" s="2">
        <v>0</v>
      </c>
      <c r="F52" s="4"/>
    </row>
    <row r="53" spans="1:6" ht="18.75" x14ac:dyDescent="0.25">
      <c r="A53" s="216"/>
      <c r="B53" s="123">
        <v>243</v>
      </c>
      <c r="C53" s="123">
        <v>226</v>
      </c>
      <c r="D53" s="5">
        <f t="shared" si="0"/>
        <v>0</v>
      </c>
      <c r="E53" s="2">
        <v>0</v>
      </c>
      <c r="F53" s="4"/>
    </row>
    <row r="54" spans="1:6" ht="18.75" x14ac:dyDescent="0.25">
      <c r="A54" s="216"/>
      <c r="B54" s="123">
        <v>244</v>
      </c>
      <c r="C54" s="123">
        <v>226</v>
      </c>
      <c r="D54" s="5">
        <f t="shared" si="0"/>
        <v>0</v>
      </c>
      <c r="E54" s="2">
        <v>0</v>
      </c>
      <c r="F54" s="4"/>
    </row>
    <row r="55" spans="1:6" ht="18.75" x14ac:dyDescent="0.25">
      <c r="A55" s="121" t="s">
        <v>25</v>
      </c>
      <c r="B55" s="123">
        <v>244</v>
      </c>
      <c r="C55" s="123">
        <v>227</v>
      </c>
      <c r="D55" s="5">
        <f>E55+F55</f>
        <v>0</v>
      </c>
      <c r="E55" s="2">
        <v>0</v>
      </c>
      <c r="F55" s="4"/>
    </row>
    <row r="56" spans="1:6" ht="56.25" x14ac:dyDescent="0.25">
      <c r="A56" s="170" t="s">
        <v>346</v>
      </c>
      <c r="B56" s="171">
        <v>244</v>
      </c>
      <c r="C56" s="171">
        <v>228</v>
      </c>
      <c r="D56" s="5">
        <f>E56+F56</f>
        <v>0</v>
      </c>
      <c r="E56" s="2">
        <v>0</v>
      </c>
      <c r="F56" s="4"/>
    </row>
    <row r="57" spans="1:6" ht="37.5" x14ac:dyDescent="0.25">
      <c r="A57" s="121" t="s">
        <v>26</v>
      </c>
      <c r="B57" s="123" t="s">
        <v>5</v>
      </c>
      <c r="C57" s="123">
        <v>260</v>
      </c>
      <c r="D57" s="5">
        <f t="shared" si="0"/>
        <v>0</v>
      </c>
      <c r="E57" s="2">
        <f>E58+E59+E60+E63</f>
        <v>0</v>
      </c>
      <c r="F57" s="4">
        <f>F58+F60+F63</f>
        <v>0</v>
      </c>
    </row>
    <row r="58" spans="1:6" ht="112.5" x14ac:dyDescent="0.25">
      <c r="A58" s="121" t="s">
        <v>27</v>
      </c>
      <c r="B58" s="123">
        <v>321</v>
      </c>
      <c r="C58" s="123">
        <v>264</v>
      </c>
      <c r="D58" s="5">
        <f t="shared" si="0"/>
        <v>0</v>
      </c>
      <c r="E58" s="2">
        <v>0</v>
      </c>
      <c r="F58" s="4"/>
    </row>
    <row r="59" spans="1:6" ht="168.75" x14ac:dyDescent="0.25">
      <c r="A59" s="193" t="s">
        <v>444</v>
      </c>
      <c r="B59" s="194">
        <v>119</v>
      </c>
      <c r="C59" s="194">
        <v>265</v>
      </c>
      <c r="D59" s="5">
        <f t="shared" si="0"/>
        <v>0</v>
      </c>
      <c r="E59" s="2">
        <v>0</v>
      </c>
      <c r="F59" s="4"/>
    </row>
    <row r="60" spans="1:6" ht="93.75" x14ac:dyDescent="0.25">
      <c r="A60" s="121" t="s">
        <v>28</v>
      </c>
      <c r="B60" s="123" t="s">
        <v>5</v>
      </c>
      <c r="C60" s="123">
        <v>266</v>
      </c>
      <c r="D60" s="5">
        <f t="shared" si="0"/>
        <v>0</v>
      </c>
      <c r="E60" s="2">
        <f>E61+E62</f>
        <v>0</v>
      </c>
      <c r="F60" s="4">
        <f t="shared" ref="F60" si="8">F61+F62</f>
        <v>0</v>
      </c>
    </row>
    <row r="61" spans="1:6" ht="18.75" x14ac:dyDescent="0.25">
      <c r="A61" s="216" t="s">
        <v>6</v>
      </c>
      <c r="B61" s="123">
        <v>111</v>
      </c>
      <c r="C61" s="123">
        <v>266</v>
      </c>
      <c r="D61" s="5">
        <f t="shared" si="0"/>
        <v>0</v>
      </c>
      <c r="E61" s="2">
        <v>0</v>
      </c>
      <c r="F61" s="4"/>
    </row>
    <row r="62" spans="1:6" ht="18.75" x14ac:dyDescent="0.25">
      <c r="A62" s="216"/>
      <c r="B62" s="123">
        <v>112</v>
      </c>
      <c r="C62" s="123">
        <v>266</v>
      </c>
      <c r="D62" s="5">
        <f t="shared" si="0"/>
        <v>0</v>
      </c>
      <c r="E62" s="2">
        <v>0</v>
      </c>
      <c r="F62" s="4"/>
    </row>
    <row r="63" spans="1:6" ht="75" x14ac:dyDescent="0.25">
      <c r="A63" s="121" t="s">
        <v>29</v>
      </c>
      <c r="B63" s="123">
        <v>112</v>
      </c>
      <c r="C63" s="123">
        <v>267</v>
      </c>
      <c r="D63" s="5">
        <f t="shared" si="0"/>
        <v>0</v>
      </c>
      <c r="E63" s="2">
        <v>0</v>
      </c>
      <c r="F63" s="4"/>
    </row>
    <row r="64" spans="1:6" ht="18.75" x14ac:dyDescent="0.25">
      <c r="A64" s="121" t="s">
        <v>30</v>
      </c>
      <c r="B64" s="123" t="s">
        <v>5</v>
      </c>
      <c r="C64" s="123">
        <v>290</v>
      </c>
      <c r="D64" s="5">
        <f t="shared" si="0"/>
        <v>0</v>
      </c>
      <c r="E64" s="2">
        <f>E66+E70+E71+E72+E73+E80</f>
        <v>0</v>
      </c>
      <c r="F64" s="4">
        <f>F66+F70+F71+F72+F73+F80</f>
        <v>0</v>
      </c>
    </row>
    <row r="65" spans="1:6" ht="18.75" x14ac:dyDescent="0.25">
      <c r="A65" s="121" t="s">
        <v>9</v>
      </c>
      <c r="B65" s="123"/>
      <c r="C65" s="123"/>
      <c r="D65" s="5">
        <f t="shared" si="0"/>
        <v>0</v>
      </c>
      <c r="E65" s="2"/>
      <c r="F65" s="4"/>
    </row>
    <row r="66" spans="1:6" ht="37.5" x14ac:dyDescent="0.25">
      <c r="A66" s="121" t="s">
        <v>31</v>
      </c>
      <c r="B66" s="123" t="s">
        <v>5</v>
      </c>
      <c r="C66" s="123">
        <v>291</v>
      </c>
      <c r="D66" s="5">
        <f t="shared" si="0"/>
        <v>0</v>
      </c>
      <c r="E66" s="2">
        <f t="shared" ref="E66:F66" si="9">E67+E68+E69</f>
        <v>0</v>
      </c>
      <c r="F66" s="4">
        <f t="shared" si="9"/>
        <v>0</v>
      </c>
    </row>
    <row r="67" spans="1:6" ht="18.75" x14ac:dyDescent="0.25">
      <c r="A67" s="216" t="s">
        <v>6</v>
      </c>
      <c r="B67" s="123">
        <v>851</v>
      </c>
      <c r="C67" s="123">
        <v>291</v>
      </c>
      <c r="D67" s="5">
        <f t="shared" si="0"/>
        <v>0</v>
      </c>
      <c r="E67" s="2">
        <v>0</v>
      </c>
      <c r="F67" s="4"/>
    </row>
    <row r="68" spans="1:6" ht="18.75" x14ac:dyDescent="0.25">
      <c r="A68" s="216"/>
      <c r="B68" s="123">
        <v>852</v>
      </c>
      <c r="C68" s="123">
        <v>291</v>
      </c>
      <c r="D68" s="5">
        <f t="shared" si="0"/>
        <v>0</v>
      </c>
      <c r="E68" s="2">
        <v>0</v>
      </c>
      <c r="F68" s="4"/>
    </row>
    <row r="69" spans="1:6" ht="18.75" x14ac:dyDescent="0.25">
      <c r="A69" s="216"/>
      <c r="B69" s="123">
        <v>853</v>
      </c>
      <c r="C69" s="123">
        <v>291</v>
      </c>
      <c r="D69" s="5">
        <f t="shared" si="0"/>
        <v>0</v>
      </c>
      <c r="E69" s="2">
        <v>0</v>
      </c>
      <c r="F69" s="4"/>
    </row>
    <row r="70" spans="1:6" ht="112.5" x14ac:dyDescent="0.25">
      <c r="A70" s="121" t="s">
        <v>32</v>
      </c>
      <c r="B70" s="123">
        <v>853</v>
      </c>
      <c r="C70" s="123">
        <v>292</v>
      </c>
      <c r="D70" s="5">
        <f t="shared" ref="D70:D102" si="10">E70+F70</f>
        <v>0</v>
      </c>
      <c r="E70" s="2">
        <v>0</v>
      </c>
      <c r="F70" s="4">
        <v>0</v>
      </c>
    </row>
    <row r="71" spans="1:6" ht="131.25" x14ac:dyDescent="0.25">
      <c r="A71" s="121" t="s">
        <v>33</v>
      </c>
      <c r="B71" s="123">
        <v>853</v>
      </c>
      <c r="C71" s="123">
        <v>293</v>
      </c>
      <c r="D71" s="5">
        <f t="shared" si="10"/>
        <v>0</v>
      </c>
      <c r="E71" s="2">
        <v>0</v>
      </c>
      <c r="F71" s="4">
        <v>0</v>
      </c>
    </row>
    <row r="72" spans="1:6" ht="56.25" x14ac:dyDescent="0.25">
      <c r="A72" s="121" t="s">
        <v>158</v>
      </c>
      <c r="B72" s="123">
        <v>853</v>
      </c>
      <c r="C72" s="123">
        <v>295</v>
      </c>
      <c r="D72" s="5">
        <f t="shared" si="10"/>
        <v>0</v>
      </c>
      <c r="E72" s="2">
        <v>0</v>
      </c>
      <c r="F72" s="4">
        <v>0</v>
      </c>
    </row>
    <row r="73" spans="1:6" ht="56.25" x14ac:dyDescent="0.25">
      <c r="A73" s="121" t="s">
        <v>34</v>
      </c>
      <c r="B73" s="123" t="s">
        <v>5</v>
      </c>
      <c r="C73" s="123">
        <v>296</v>
      </c>
      <c r="D73" s="5">
        <f t="shared" si="10"/>
        <v>0</v>
      </c>
      <c r="E73" s="2">
        <f>E74+E75+E76+E77+E79</f>
        <v>0</v>
      </c>
      <c r="F73" s="4">
        <f t="shared" ref="F73" si="11">F74+F75+F76+F77+F79</f>
        <v>0</v>
      </c>
    </row>
    <row r="74" spans="1:6" ht="18.75" x14ac:dyDescent="0.25">
      <c r="A74" s="216" t="s">
        <v>6</v>
      </c>
      <c r="B74" s="123">
        <v>244</v>
      </c>
      <c r="C74" s="123">
        <v>296</v>
      </c>
      <c r="D74" s="5">
        <f t="shared" si="10"/>
        <v>0</v>
      </c>
      <c r="E74" s="2">
        <v>0</v>
      </c>
      <c r="F74" s="4"/>
    </row>
    <row r="75" spans="1:6" ht="18.75" x14ac:dyDescent="0.25">
      <c r="A75" s="216"/>
      <c r="B75" s="123">
        <v>340</v>
      </c>
      <c r="C75" s="123">
        <v>296</v>
      </c>
      <c r="D75" s="5">
        <f t="shared" si="10"/>
        <v>0</v>
      </c>
      <c r="E75" s="2">
        <v>0</v>
      </c>
      <c r="F75" s="4"/>
    </row>
    <row r="76" spans="1:6" ht="18.75" x14ac:dyDescent="0.25">
      <c r="A76" s="216"/>
      <c r="B76" s="123">
        <v>350</v>
      </c>
      <c r="C76" s="123">
        <v>296</v>
      </c>
      <c r="D76" s="5">
        <f t="shared" si="10"/>
        <v>0</v>
      </c>
      <c r="E76" s="2">
        <v>0</v>
      </c>
      <c r="F76" s="4"/>
    </row>
    <row r="77" spans="1:6" ht="18.75" x14ac:dyDescent="0.25">
      <c r="A77" s="216"/>
      <c r="B77" s="123">
        <v>360</v>
      </c>
      <c r="C77" s="123">
        <v>296</v>
      </c>
      <c r="D77" s="5">
        <f t="shared" si="10"/>
        <v>0</v>
      </c>
      <c r="E77" s="2">
        <v>0</v>
      </c>
      <c r="F77" s="4"/>
    </row>
    <row r="78" spans="1:6" ht="18.75" x14ac:dyDescent="0.25">
      <c r="A78" s="216"/>
      <c r="B78" s="215">
        <v>831</v>
      </c>
      <c r="C78" s="215">
        <v>296</v>
      </c>
      <c r="D78" s="5">
        <f t="shared" ref="D78" si="12">E78+F78</f>
        <v>0</v>
      </c>
      <c r="E78" s="2">
        <v>0</v>
      </c>
      <c r="F78" s="4"/>
    </row>
    <row r="79" spans="1:6" ht="18.75" x14ac:dyDescent="0.25">
      <c r="A79" s="216"/>
      <c r="B79" s="123">
        <v>853</v>
      </c>
      <c r="C79" s="123">
        <v>296</v>
      </c>
      <c r="D79" s="5">
        <f t="shared" si="10"/>
        <v>0</v>
      </c>
      <c r="E79" s="2">
        <v>0</v>
      </c>
      <c r="F79" s="4"/>
    </row>
    <row r="80" spans="1:6" ht="62.45" customHeight="1" x14ac:dyDescent="0.25">
      <c r="A80" s="121" t="s">
        <v>35</v>
      </c>
      <c r="B80" s="123" t="s">
        <v>5</v>
      </c>
      <c r="C80" s="123">
        <v>297</v>
      </c>
      <c r="D80" s="5">
        <f>E80+D82+F80</f>
        <v>0</v>
      </c>
      <c r="E80" s="5">
        <f>F80+E82+G80</f>
        <v>0</v>
      </c>
      <c r="F80" s="4">
        <f>F81+F82+F83</f>
        <v>0</v>
      </c>
    </row>
    <row r="81" spans="1:6" ht="18.75" x14ac:dyDescent="0.25">
      <c r="A81" s="216" t="s">
        <v>6</v>
      </c>
      <c r="B81" s="123">
        <v>244</v>
      </c>
      <c r="C81" s="123">
        <v>297</v>
      </c>
      <c r="D81" s="5">
        <f>E81+F81</f>
        <v>0</v>
      </c>
      <c r="E81" s="2">
        <v>0</v>
      </c>
      <c r="F81" s="4"/>
    </row>
    <row r="82" spans="1:6" ht="18.75" x14ac:dyDescent="0.25">
      <c r="A82" s="216"/>
      <c r="B82" s="192">
        <v>831</v>
      </c>
      <c r="C82" s="192">
        <v>297</v>
      </c>
      <c r="D82" s="5">
        <f>E82+F82</f>
        <v>0</v>
      </c>
      <c r="E82" s="2">
        <v>0</v>
      </c>
      <c r="F82" s="4"/>
    </row>
    <row r="83" spans="1:6" ht="18.75" x14ac:dyDescent="0.25">
      <c r="A83" s="216"/>
      <c r="B83" s="123">
        <v>853</v>
      </c>
      <c r="C83" s="123">
        <v>297</v>
      </c>
      <c r="D83" s="5">
        <f t="shared" si="10"/>
        <v>0</v>
      </c>
      <c r="E83" s="2">
        <v>0</v>
      </c>
      <c r="F83" s="4"/>
    </row>
    <row r="84" spans="1:6" ht="56.25" x14ac:dyDescent="0.25">
      <c r="A84" s="121" t="s">
        <v>59</v>
      </c>
      <c r="B84" s="123" t="s">
        <v>5</v>
      </c>
      <c r="C84" s="123">
        <v>300</v>
      </c>
      <c r="D84" s="5">
        <f t="shared" si="10"/>
        <v>0</v>
      </c>
      <c r="E84" s="2">
        <f>E86+E88+E87</f>
        <v>0</v>
      </c>
      <c r="F84" s="4">
        <f>F86+F88+F87</f>
        <v>0</v>
      </c>
    </row>
    <row r="85" spans="1:6" ht="18.75" x14ac:dyDescent="0.25">
      <c r="A85" s="121" t="s">
        <v>9</v>
      </c>
      <c r="B85" s="123"/>
      <c r="C85" s="123"/>
      <c r="D85" s="5"/>
      <c r="E85" s="2"/>
      <c r="F85" s="4"/>
    </row>
    <row r="86" spans="1:6" ht="56.25" x14ac:dyDescent="0.25">
      <c r="A86" s="121" t="s">
        <v>36</v>
      </c>
      <c r="B86" s="123">
        <v>244</v>
      </c>
      <c r="C86" s="123">
        <v>310</v>
      </c>
      <c r="D86" s="5">
        <f t="shared" si="10"/>
        <v>0</v>
      </c>
      <c r="E86" s="2">
        <v>0</v>
      </c>
      <c r="F86" s="4"/>
    </row>
    <row r="87" spans="1:6" ht="75" x14ac:dyDescent="0.25">
      <c r="A87" s="121" t="s">
        <v>68</v>
      </c>
      <c r="B87" s="123">
        <v>244</v>
      </c>
      <c r="C87" s="123">
        <v>320</v>
      </c>
      <c r="D87" s="5">
        <f t="shared" si="10"/>
        <v>0</v>
      </c>
      <c r="E87" s="2">
        <v>0</v>
      </c>
      <c r="F87" s="4"/>
    </row>
    <row r="88" spans="1:6" ht="75" x14ac:dyDescent="0.25">
      <c r="A88" s="121" t="s">
        <v>60</v>
      </c>
      <c r="B88" s="123" t="s">
        <v>5</v>
      </c>
      <c r="C88" s="123">
        <v>340</v>
      </c>
      <c r="D88" s="5">
        <f t="shared" si="10"/>
        <v>0</v>
      </c>
      <c r="E88" s="2">
        <f>E90+E91+E92+E93+E94+E95+E96+E97</f>
        <v>0</v>
      </c>
      <c r="F88" s="4">
        <f>F90+F91+F92+F93+F94+F95+F97</f>
        <v>0</v>
      </c>
    </row>
    <row r="89" spans="1:6" ht="18.75" x14ac:dyDescent="0.25">
      <c r="A89" s="121" t="s">
        <v>6</v>
      </c>
      <c r="B89" s="123"/>
      <c r="C89" s="123"/>
      <c r="D89" s="5"/>
      <c r="E89" s="2"/>
      <c r="F89" s="4"/>
    </row>
    <row r="90" spans="1:6" ht="131.25" x14ac:dyDescent="0.25">
      <c r="A90" s="121" t="s">
        <v>37</v>
      </c>
      <c r="B90" s="123">
        <v>244</v>
      </c>
      <c r="C90" s="123">
        <v>341</v>
      </c>
      <c r="D90" s="5">
        <f t="shared" si="10"/>
        <v>0</v>
      </c>
      <c r="E90" s="2">
        <v>0</v>
      </c>
      <c r="F90" s="4"/>
    </row>
    <row r="91" spans="1:6" ht="56.25" x14ac:dyDescent="0.25">
      <c r="A91" s="121" t="s">
        <v>38</v>
      </c>
      <c r="B91" s="123">
        <v>244</v>
      </c>
      <c r="C91" s="123">
        <v>342</v>
      </c>
      <c r="D91" s="5">
        <f t="shared" si="10"/>
        <v>0</v>
      </c>
      <c r="E91" s="2">
        <v>0</v>
      </c>
      <c r="F91" s="4"/>
    </row>
    <row r="92" spans="1:6" ht="75" x14ac:dyDescent="0.25">
      <c r="A92" s="121" t="s">
        <v>39</v>
      </c>
      <c r="B92" s="123">
        <v>244</v>
      </c>
      <c r="C92" s="123">
        <v>343</v>
      </c>
      <c r="D92" s="5">
        <f t="shared" si="10"/>
        <v>0</v>
      </c>
      <c r="E92" s="2">
        <v>0</v>
      </c>
      <c r="F92" s="4"/>
    </row>
    <row r="93" spans="1:6" ht="75" x14ac:dyDescent="0.25">
      <c r="A93" s="121" t="s">
        <v>40</v>
      </c>
      <c r="B93" s="123">
        <v>244</v>
      </c>
      <c r="C93" s="123">
        <v>344</v>
      </c>
      <c r="D93" s="5">
        <f t="shared" si="10"/>
        <v>0</v>
      </c>
      <c r="E93" s="2">
        <v>0</v>
      </c>
      <c r="F93" s="4"/>
    </row>
    <row r="94" spans="1:6" ht="56.25" x14ac:dyDescent="0.25">
      <c r="A94" s="121" t="s">
        <v>41</v>
      </c>
      <c r="B94" s="123">
        <v>244</v>
      </c>
      <c r="C94" s="123">
        <v>345</v>
      </c>
      <c r="D94" s="5">
        <f t="shared" si="10"/>
        <v>0</v>
      </c>
      <c r="E94" s="2">
        <v>0</v>
      </c>
      <c r="F94" s="4"/>
    </row>
    <row r="95" spans="1:6" ht="75" x14ac:dyDescent="0.25">
      <c r="A95" s="121" t="s">
        <v>42</v>
      </c>
      <c r="B95" s="123">
        <v>244</v>
      </c>
      <c r="C95" s="123">
        <v>346</v>
      </c>
      <c r="D95" s="5">
        <f>E95+F95</f>
        <v>0</v>
      </c>
      <c r="E95" s="2">
        <v>0</v>
      </c>
      <c r="F95" s="4"/>
    </row>
    <row r="96" spans="1:6" ht="112.5" x14ac:dyDescent="0.25">
      <c r="A96" s="170" t="s">
        <v>347</v>
      </c>
      <c r="B96" s="171">
        <v>244</v>
      </c>
      <c r="C96" s="171">
        <v>347</v>
      </c>
      <c r="D96" s="5">
        <f>E96+F96</f>
        <v>0</v>
      </c>
      <c r="E96" s="2">
        <v>0</v>
      </c>
      <c r="F96" s="4"/>
    </row>
    <row r="97" spans="1:6" ht="112.5" x14ac:dyDescent="0.25">
      <c r="A97" s="121" t="s">
        <v>43</v>
      </c>
      <c r="B97" s="123">
        <v>244</v>
      </c>
      <c r="C97" s="123">
        <v>349</v>
      </c>
      <c r="D97" s="5">
        <f t="shared" si="10"/>
        <v>0</v>
      </c>
      <c r="E97" s="2">
        <v>0</v>
      </c>
      <c r="F97" s="4"/>
    </row>
    <row r="98" spans="1:6" ht="56.25" x14ac:dyDescent="0.25">
      <c r="A98" s="121" t="s">
        <v>67</v>
      </c>
      <c r="B98" s="123" t="s">
        <v>5</v>
      </c>
      <c r="C98" s="123" t="s">
        <v>5</v>
      </c>
      <c r="D98" s="5">
        <f t="shared" si="10"/>
        <v>0</v>
      </c>
      <c r="E98" s="2">
        <f t="shared" ref="E98:F98" si="13">E100+E101+E102</f>
        <v>0</v>
      </c>
      <c r="F98" s="4">
        <f t="shared" si="13"/>
        <v>0</v>
      </c>
    </row>
    <row r="99" spans="1:6" ht="18.75" x14ac:dyDescent="0.25">
      <c r="A99" s="121" t="s">
        <v>6</v>
      </c>
      <c r="B99" s="123"/>
      <c r="C99" s="123"/>
      <c r="D99" s="5"/>
      <c r="E99" s="2"/>
      <c r="F99" s="4"/>
    </row>
    <row r="100" spans="1:6" ht="18.75" x14ac:dyDescent="0.25">
      <c r="A100" s="121" t="s">
        <v>194</v>
      </c>
      <c r="B100" s="123">
        <v>180</v>
      </c>
      <c r="C100" s="123" t="s">
        <v>5</v>
      </c>
      <c r="D100" s="5">
        <f t="shared" si="10"/>
        <v>0</v>
      </c>
      <c r="E100" s="2">
        <v>0</v>
      </c>
      <c r="F100" s="4"/>
    </row>
    <row r="101" spans="1:6" ht="56.25" x14ac:dyDescent="0.25">
      <c r="A101" s="121" t="s">
        <v>195</v>
      </c>
      <c r="B101" s="123">
        <v>180</v>
      </c>
      <c r="C101" s="123" t="s">
        <v>5</v>
      </c>
      <c r="D101" s="5">
        <f t="shared" si="10"/>
        <v>0</v>
      </c>
      <c r="E101" s="2">
        <v>0</v>
      </c>
      <c r="F101" s="4"/>
    </row>
    <row r="102" spans="1:6" ht="57" thickBot="1" x14ac:dyDescent="0.3">
      <c r="A102" s="32" t="s">
        <v>196</v>
      </c>
      <c r="B102" s="33">
        <v>180</v>
      </c>
      <c r="C102" s="33" t="s">
        <v>5</v>
      </c>
      <c r="D102" s="34">
        <f t="shared" si="10"/>
        <v>0</v>
      </c>
      <c r="E102" s="35">
        <v>0</v>
      </c>
      <c r="F102" s="100"/>
    </row>
    <row r="103" spans="1:6" ht="18.75" x14ac:dyDescent="0.25">
      <c r="A103" s="15"/>
      <c r="B103" s="19"/>
      <c r="C103" s="19"/>
      <c r="D103" s="36"/>
      <c r="E103" s="36"/>
      <c r="F103" s="36"/>
    </row>
    <row r="104" spans="1:6" x14ac:dyDescent="0.25">
      <c r="A104" s="11"/>
    </row>
    <row r="105" spans="1:6" ht="37.5" x14ac:dyDescent="0.3">
      <c r="A105" s="29" t="s">
        <v>52</v>
      </c>
      <c r="B105" s="219"/>
      <c r="C105" s="219"/>
      <c r="D105" s="10"/>
      <c r="E105" s="219" t="s">
        <v>465</v>
      </c>
      <c r="F105" s="219"/>
    </row>
    <row r="106" spans="1:6" ht="18.75" x14ac:dyDescent="0.3">
      <c r="A106" s="29"/>
      <c r="B106" s="218" t="s">
        <v>53</v>
      </c>
      <c r="C106" s="218"/>
      <c r="D106" s="10"/>
      <c r="E106" s="218" t="s">
        <v>54</v>
      </c>
      <c r="F106" s="218"/>
    </row>
    <row r="107" spans="1:6" ht="18.75" x14ac:dyDescent="0.3">
      <c r="A107" s="29"/>
      <c r="B107" s="10"/>
      <c r="C107" s="10"/>
      <c r="D107" s="10"/>
      <c r="E107" s="10"/>
      <c r="F107" s="10"/>
    </row>
    <row r="108" spans="1:6" ht="37.5" x14ac:dyDescent="0.3">
      <c r="A108" s="29" t="s">
        <v>55</v>
      </c>
      <c r="B108" s="219"/>
      <c r="C108" s="219"/>
      <c r="D108" s="10"/>
      <c r="E108" s="219" t="s">
        <v>341</v>
      </c>
      <c r="F108" s="219"/>
    </row>
    <row r="109" spans="1:6" ht="18.75" x14ac:dyDescent="0.3">
      <c r="A109" s="29"/>
      <c r="B109" s="218" t="s">
        <v>53</v>
      </c>
      <c r="C109" s="218"/>
      <c r="D109" s="10"/>
      <c r="E109" s="218" t="s">
        <v>54</v>
      </c>
      <c r="F109" s="218"/>
    </row>
    <row r="110" spans="1:6" ht="18.75" x14ac:dyDescent="0.3">
      <c r="A110" s="29"/>
      <c r="B110" s="47"/>
      <c r="C110" s="47"/>
      <c r="D110" s="10"/>
      <c r="E110" s="47"/>
      <c r="F110" s="47"/>
    </row>
    <row r="111" spans="1:6" ht="18.75" x14ac:dyDescent="0.3">
      <c r="A111" s="29" t="s">
        <v>56</v>
      </c>
      <c r="B111" s="219"/>
      <c r="C111" s="219"/>
      <c r="D111" s="10"/>
      <c r="E111" s="219" t="s">
        <v>341</v>
      </c>
      <c r="F111" s="219"/>
    </row>
    <row r="112" spans="1:6" ht="18.75" x14ac:dyDescent="0.3">
      <c r="A112" s="29"/>
      <c r="B112" s="218" t="s">
        <v>53</v>
      </c>
      <c r="C112" s="218"/>
      <c r="D112" s="10"/>
      <c r="E112" s="218" t="s">
        <v>54</v>
      </c>
      <c r="F112" s="218"/>
    </row>
    <row r="113" spans="1:10" ht="18.75" x14ac:dyDescent="0.3">
      <c r="A113" s="29" t="s">
        <v>57</v>
      </c>
      <c r="B113" s="10"/>
      <c r="C113" s="10"/>
      <c r="D113" s="10"/>
      <c r="E113" s="10"/>
      <c r="F113" s="10"/>
    </row>
    <row r="114" spans="1:10" ht="18.75" x14ac:dyDescent="0.3">
      <c r="A114" s="217" t="s">
        <v>44</v>
      </c>
      <c r="B114" s="217"/>
      <c r="C114" s="10"/>
      <c r="D114" s="10"/>
      <c r="E114" s="10"/>
      <c r="F114" s="10"/>
    </row>
    <row r="115" spans="1:10" ht="18.75" x14ac:dyDescent="0.25">
      <c r="A115" s="220" t="s">
        <v>192</v>
      </c>
      <c r="B115" s="220"/>
      <c r="C115" s="220"/>
      <c r="D115" s="220"/>
      <c r="E115" s="220"/>
      <c r="F115" s="220"/>
    </row>
    <row r="116" spans="1:10" ht="60" x14ac:dyDescent="0.25">
      <c r="A116" s="54" t="s">
        <v>184</v>
      </c>
      <c r="B116" s="58" t="s">
        <v>5</v>
      </c>
      <c r="C116" s="58" t="s">
        <v>5</v>
      </c>
      <c r="D116" s="5">
        <f t="shared" ref="D116:D117" si="14">E116+F116</f>
        <v>0</v>
      </c>
      <c r="E116" s="2"/>
      <c r="F116" s="4"/>
      <c r="H116" s="71" t="s">
        <v>230</v>
      </c>
      <c r="I116" s="71" t="s">
        <v>231</v>
      </c>
      <c r="J116" s="71" t="s">
        <v>232</v>
      </c>
    </row>
    <row r="117" spans="1:10" ht="18.75" x14ac:dyDescent="0.25">
      <c r="A117" s="54" t="s">
        <v>7</v>
      </c>
      <c r="B117" s="58" t="s">
        <v>5</v>
      </c>
      <c r="C117" s="58">
        <v>900</v>
      </c>
      <c r="D117" s="5">
        <f t="shared" si="14"/>
        <v>0</v>
      </c>
      <c r="E117" s="2">
        <f>E120+E150+E165+E195</f>
        <v>0</v>
      </c>
      <c r="F117" s="2">
        <f>F120+F150</f>
        <v>0</v>
      </c>
      <c r="H117" s="72">
        <f>E22+E23+E24+E26+E32+E50+E51+E52+E58+E61+E62+E63+E67+E68+E69+E70+E71+E72+E75+E76+E77+E79+E83</f>
        <v>0</v>
      </c>
      <c r="I117" s="72">
        <f>H117+D117</f>
        <v>0</v>
      </c>
      <c r="J117" s="72">
        <f>I117-E16</f>
        <v>0</v>
      </c>
    </row>
    <row r="118" spans="1:10" ht="18.75" x14ac:dyDescent="0.25">
      <c r="A118" s="54" t="s">
        <v>6</v>
      </c>
      <c r="B118" s="58"/>
      <c r="C118" s="58"/>
      <c r="D118" s="5"/>
      <c r="E118" s="2"/>
      <c r="F118" s="4"/>
    </row>
    <row r="119" spans="1:10" ht="17.45" customHeight="1" x14ac:dyDescent="0.25">
      <c r="A119" s="221" t="s">
        <v>200</v>
      </c>
      <c r="B119" s="222"/>
      <c r="C119" s="222"/>
      <c r="D119" s="222"/>
      <c r="E119" s="222"/>
      <c r="F119" s="223"/>
    </row>
    <row r="120" spans="1:10" ht="18.75" x14ac:dyDescent="0.25">
      <c r="A120" s="54" t="s">
        <v>8</v>
      </c>
      <c r="B120" s="58" t="s">
        <v>5</v>
      </c>
      <c r="C120" s="58">
        <v>200</v>
      </c>
      <c r="D120" s="5">
        <f t="shared" ref="D120:D154" si="15">E120+F120</f>
        <v>0</v>
      </c>
      <c r="E120" s="2">
        <f>E122+E125+E146</f>
        <v>0</v>
      </c>
      <c r="F120" s="2">
        <f>F122+F125+F146</f>
        <v>0</v>
      </c>
    </row>
    <row r="121" spans="1:10" ht="18.75" x14ac:dyDescent="0.25">
      <c r="A121" s="54" t="s">
        <v>9</v>
      </c>
      <c r="B121" s="58"/>
      <c r="C121" s="58"/>
      <c r="D121" s="5"/>
      <c r="E121" s="2"/>
      <c r="F121" s="2"/>
    </row>
    <row r="122" spans="1:10" ht="75" x14ac:dyDescent="0.25">
      <c r="A122" s="54" t="s">
        <v>10</v>
      </c>
      <c r="B122" s="58" t="s">
        <v>5</v>
      </c>
      <c r="C122" s="58">
        <v>210</v>
      </c>
      <c r="D122" s="5">
        <f t="shared" si="15"/>
        <v>0</v>
      </c>
      <c r="E122" s="2">
        <f>E124</f>
        <v>0</v>
      </c>
      <c r="F122" s="2">
        <f>F124</f>
        <v>0</v>
      </c>
    </row>
    <row r="123" spans="1:10" ht="18.75" x14ac:dyDescent="0.25">
      <c r="A123" s="54" t="s">
        <v>9</v>
      </c>
      <c r="B123" s="58"/>
      <c r="C123" s="58"/>
      <c r="D123" s="5"/>
      <c r="E123" s="2"/>
      <c r="F123" s="2"/>
    </row>
    <row r="124" spans="1:10" ht="93.75" x14ac:dyDescent="0.25">
      <c r="A124" s="54" t="s">
        <v>201</v>
      </c>
      <c r="B124" s="58">
        <v>244</v>
      </c>
      <c r="C124" s="58">
        <v>214</v>
      </c>
      <c r="D124" s="5">
        <f>E124+F124</f>
        <v>0</v>
      </c>
      <c r="E124" s="2"/>
      <c r="F124" s="2"/>
    </row>
    <row r="125" spans="1:10" ht="37.5" x14ac:dyDescent="0.25">
      <c r="A125" s="54" t="s">
        <v>14</v>
      </c>
      <c r="B125" s="58" t="s">
        <v>5</v>
      </c>
      <c r="C125" s="58">
        <v>220</v>
      </c>
      <c r="D125" s="5">
        <f t="shared" si="15"/>
        <v>0</v>
      </c>
      <c r="E125" s="2">
        <f>E127+E128+E129+E137+E138+E141+E144</f>
        <v>0</v>
      </c>
      <c r="F125" s="2">
        <f>F127+F128+F129+F137+F138+F141+F144</f>
        <v>0</v>
      </c>
    </row>
    <row r="126" spans="1:10" ht="18.75" x14ac:dyDescent="0.25">
      <c r="A126" s="54" t="s">
        <v>9</v>
      </c>
      <c r="B126" s="58"/>
      <c r="C126" s="58"/>
      <c r="D126" s="5"/>
      <c r="E126" s="2"/>
      <c r="F126" s="2"/>
    </row>
    <row r="127" spans="1:10" ht="18.75" x14ac:dyDescent="0.25">
      <c r="A127" s="54" t="s">
        <v>15</v>
      </c>
      <c r="B127" s="58">
        <v>244</v>
      </c>
      <c r="C127" s="58">
        <v>221</v>
      </c>
      <c r="D127" s="5">
        <f t="shared" si="15"/>
        <v>0</v>
      </c>
      <c r="E127" s="2"/>
      <c r="F127" s="2"/>
    </row>
    <row r="128" spans="1:10" ht="37.5" x14ac:dyDescent="0.25">
      <c r="A128" s="54" t="s">
        <v>16</v>
      </c>
      <c r="B128" s="58">
        <v>244</v>
      </c>
      <c r="C128" s="58">
        <v>222</v>
      </c>
      <c r="D128" s="5">
        <f t="shared" si="15"/>
        <v>0</v>
      </c>
      <c r="E128" s="2"/>
      <c r="F128" s="2"/>
    </row>
    <row r="129" spans="1:6" ht="37.5" x14ac:dyDescent="0.25">
      <c r="A129" s="54" t="s">
        <v>17</v>
      </c>
      <c r="B129" s="58" t="s">
        <v>5</v>
      </c>
      <c r="C129" s="58">
        <v>223</v>
      </c>
      <c r="D129" s="5">
        <f t="shared" si="15"/>
        <v>0</v>
      </c>
      <c r="E129" s="2">
        <f t="shared" ref="E129:F129" si="16">E131+E132+E133+E134+E135</f>
        <v>0</v>
      </c>
      <c r="F129" s="2">
        <f t="shared" si="16"/>
        <v>0</v>
      </c>
    </row>
    <row r="130" spans="1:6" ht="18.75" x14ac:dyDescent="0.25">
      <c r="A130" s="54" t="s">
        <v>6</v>
      </c>
      <c r="B130" s="58"/>
      <c r="C130" s="58"/>
      <c r="D130" s="5"/>
      <c r="E130" s="2"/>
      <c r="F130" s="2"/>
    </row>
    <row r="131" spans="1:6" ht="56.25" x14ac:dyDescent="0.25">
      <c r="A131" s="54" t="s">
        <v>18</v>
      </c>
      <c r="B131" s="58">
        <v>244</v>
      </c>
      <c r="C131" s="58">
        <v>223</v>
      </c>
      <c r="D131" s="5">
        <f t="shared" si="15"/>
        <v>0</v>
      </c>
      <c r="E131" s="2"/>
      <c r="F131" s="2"/>
    </row>
    <row r="132" spans="1:6" ht="37.5" x14ac:dyDescent="0.25">
      <c r="A132" s="54" t="s">
        <v>19</v>
      </c>
      <c r="B132" s="58">
        <v>244</v>
      </c>
      <c r="C132" s="58">
        <v>223</v>
      </c>
      <c r="D132" s="5">
        <f t="shared" si="15"/>
        <v>0</v>
      </c>
      <c r="E132" s="2"/>
      <c r="F132" s="2"/>
    </row>
    <row r="133" spans="1:6" ht="75" x14ac:dyDescent="0.25">
      <c r="A133" s="54" t="s">
        <v>20</v>
      </c>
      <c r="B133" s="58">
        <v>244</v>
      </c>
      <c r="C133" s="58">
        <v>223</v>
      </c>
      <c r="D133" s="5">
        <f t="shared" si="15"/>
        <v>0</v>
      </c>
      <c r="E133" s="2"/>
      <c r="F133" s="2"/>
    </row>
    <row r="134" spans="1:6" ht="75" x14ac:dyDescent="0.25">
      <c r="A134" s="54" t="s">
        <v>21</v>
      </c>
      <c r="B134" s="58">
        <v>244</v>
      </c>
      <c r="C134" s="58">
        <v>223</v>
      </c>
      <c r="D134" s="5">
        <f t="shared" si="15"/>
        <v>0</v>
      </c>
      <c r="E134" s="2"/>
      <c r="F134" s="2"/>
    </row>
    <row r="135" spans="1:6" ht="56.25" x14ac:dyDescent="0.25">
      <c r="A135" s="54" t="s">
        <v>22</v>
      </c>
      <c r="B135" s="58">
        <v>244</v>
      </c>
      <c r="C135" s="58">
        <v>223</v>
      </c>
      <c r="D135" s="5">
        <f t="shared" si="15"/>
        <v>0</v>
      </c>
      <c r="E135" s="2"/>
      <c r="F135" s="2"/>
    </row>
    <row r="136" spans="1:6" ht="56.25" x14ac:dyDescent="0.25">
      <c r="A136" s="195" t="s">
        <v>446</v>
      </c>
      <c r="B136" s="196">
        <v>244</v>
      </c>
      <c r="C136" s="196">
        <v>223</v>
      </c>
      <c r="D136" s="5">
        <f t="shared" ref="D136" si="17">E136+F136</f>
        <v>0</v>
      </c>
      <c r="E136" s="2"/>
      <c r="F136" s="2"/>
    </row>
    <row r="137" spans="1:6" ht="168.75" x14ac:dyDescent="0.25">
      <c r="A137" s="54" t="s">
        <v>23</v>
      </c>
      <c r="B137" s="58">
        <v>244</v>
      </c>
      <c r="C137" s="58">
        <v>224</v>
      </c>
      <c r="D137" s="5">
        <f t="shared" si="15"/>
        <v>0</v>
      </c>
      <c r="E137" s="2"/>
      <c r="F137" s="2"/>
    </row>
    <row r="138" spans="1:6" ht="56.25" x14ac:dyDescent="0.25">
      <c r="A138" s="54" t="s">
        <v>24</v>
      </c>
      <c r="B138" s="58" t="s">
        <v>5</v>
      </c>
      <c r="C138" s="58">
        <v>225</v>
      </c>
      <c r="D138" s="2">
        <f t="shared" ref="D138:F138" si="18">D139+D140</f>
        <v>0</v>
      </c>
      <c r="E138" s="2">
        <f>E139+E140</f>
        <v>0</v>
      </c>
      <c r="F138" s="2">
        <f t="shared" si="18"/>
        <v>0</v>
      </c>
    </row>
    <row r="139" spans="1:6" ht="18.75" x14ac:dyDescent="0.25">
      <c r="A139" s="216" t="s">
        <v>6</v>
      </c>
      <c r="B139" s="58">
        <v>243</v>
      </c>
      <c r="C139" s="58">
        <v>225</v>
      </c>
      <c r="D139" s="5">
        <f t="shared" si="15"/>
        <v>0</v>
      </c>
      <c r="E139" s="2"/>
      <c r="F139" s="2"/>
    </row>
    <row r="140" spans="1:6" ht="18.75" x14ac:dyDescent="0.25">
      <c r="A140" s="216"/>
      <c r="B140" s="58">
        <v>244</v>
      </c>
      <c r="C140" s="58">
        <v>225</v>
      </c>
      <c r="D140" s="5">
        <f t="shared" si="15"/>
        <v>0</v>
      </c>
      <c r="E140" s="2"/>
      <c r="F140" s="2"/>
    </row>
    <row r="141" spans="1:6" ht="37.5" x14ac:dyDescent="0.25">
      <c r="A141" s="54" t="s">
        <v>58</v>
      </c>
      <c r="B141" s="58" t="s">
        <v>5</v>
      </c>
      <c r="C141" s="58">
        <v>226</v>
      </c>
      <c r="D141" s="5">
        <f t="shared" si="15"/>
        <v>0</v>
      </c>
      <c r="E141" s="2">
        <f>E142+E143</f>
        <v>0</v>
      </c>
      <c r="F141" s="2">
        <f>F142+F143</f>
        <v>0</v>
      </c>
    </row>
    <row r="142" spans="1:6" ht="18.75" x14ac:dyDescent="0.25">
      <c r="A142" s="216" t="s">
        <v>6</v>
      </c>
      <c r="B142" s="58">
        <v>243</v>
      </c>
      <c r="C142" s="58">
        <v>226</v>
      </c>
      <c r="D142" s="5">
        <f t="shared" si="15"/>
        <v>0</v>
      </c>
      <c r="E142" s="2"/>
      <c r="F142" s="2"/>
    </row>
    <row r="143" spans="1:6" ht="18.75" x14ac:dyDescent="0.25">
      <c r="A143" s="216"/>
      <c r="B143" s="58">
        <v>244</v>
      </c>
      <c r="C143" s="58">
        <v>226</v>
      </c>
      <c r="D143" s="5">
        <f t="shared" si="15"/>
        <v>0</v>
      </c>
      <c r="E143" s="2"/>
      <c r="F143" s="2"/>
    </row>
    <row r="144" spans="1:6" ht="18.75" x14ac:dyDescent="0.25">
      <c r="A144" s="54" t="s">
        <v>25</v>
      </c>
      <c r="B144" s="58">
        <v>244</v>
      </c>
      <c r="C144" s="58">
        <v>227</v>
      </c>
      <c r="D144" s="5">
        <f>E144+F144</f>
        <v>0</v>
      </c>
      <c r="E144" s="2"/>
      <c r="F144" s="2"/>
    </row>
    <row r="145" spans="1:6" ht="56.25" x14ac:dyDescent="0.25">
      <c r="A145" s="170" t="s">
        <v>346</v>
      </c>
      <c r="B145" s="171">
        <v>244</v>
      </c>
      <c r="C145" s="171">
        <v>228</v>
      </c>
      <c r="D145" s="5">
        <f>E145+F145</f>
        <v>0</v>
      </c>
      <c r="E145" s="2"/>
      <c r="F145" s="2"/>
    </row>
    <row r="146" spans="1:6" ht="18.75" x14ac:dyDescent="0.25">
      <c r="A146" s="54" t="s">
        <v>30</v>
      </c>
      <c r="B146" s="58" t="s">
        <v>5</v>
      </c>
      <c r="C146" s="58">
        <v>290</v>
      </c>
      <c r="D146" s="5">
        <f t="shared" si="15"/>
        <v>0</v>
      </c>
      <c r="E146" s="2">
        <f>E148+E149</f>
        <v>0</v>
      </c>
      <c r="F146" s="2">
        <f>F148+F149</f>
        <v>0</v>
      </c>
    </row>
    <row r="147" spans="1:6" ht="18.75" x14ac:dyDescent="0.25">
      <c r="A147" s="54" t="s">
        <v>9</v>
      </c>
      <c r="B147" s="58"/>
      <c r="C147" s="58"/>
      <c r="D147" s="5">
        <f t="shared" si="15"/>
        <v>0</v>
      </c>
      <c r="E147" s="2"/>
      <c r="F147" s="2"/>
    </row>
    <row r="148" spans="1:6" ht="56.25" x14ac:dyDescent="0.25">
      <c r="A148" s="54" t="s">
        <v>34</v>
      </c>
      <c r="B148" s="58">
        <v>244</v>
      </c>
      <c r="C148" s="58">
        <v>296</v>
      </c>
      <c r="D148" s="5">
        <f t="shared" si="15"/>
        <v>0</v>
      </c>
      <c r="E148" s="2"/>
      <c r="F148" s="2"/>
    </row>
    <row r="149" spans="1:6" ht="56.25" x14ac:dyDescent="0.25">
      <c r="A149" s="54" t="s">
        <v>35</v>
      </c>
      <c r="B149" s="58">
        <v>244</v>
      </c>
      <c r="C149" s="58">
        <v>297</v>
      </c>
      <c r="D149" s="5">
        <f t="shared" si="15"/>
        <v>0</v>
      </c>
      <c r="E149" s="2"/>
      <c r="F149" s="2"/>
    </row>
    <row r="150" spans="1:6" ht="56.25" x14ac:dyDescent="0.25">
      <c r="A150" s="54" t="s">
        <v>59</v>
      </c>
      <c r="B150" s="58" t="s">
        <v>5</v>
      </c>
      <c r="C150" s="58">
        <v>300</v>
      </c>
      <c r="D150" s="5">
        <f t="shared" si="15"/>
        <v>0</v>
      </c>
      <c r="E150" s="2">
        <f>E152+E154+E153</f>
        <v>0</v>
      </c>
      <c r="F150" s="2">
        <f>F152+F154+F153</f>
        <v>0</v>
      </c>
    </row>
    <row r="151" spans="1:6" ht="18.75" x14ac:dyDescent="0.25">
      <c r="A151" s="54" t="s">
        <v>9</v>
      </c>
      <c r="B151" s="58"/>
      <c r="C151" s="58"/>
      <c r="D151" s="5"/>
      <c r="E151" s="2"/>
      <c r="F151" s="2"/>
    </row>
    <row r="152" spans="1:6" ht="56.25" x14ac:dyDescent="0.25">
      <c r="A152" s="54" t="s">
        <v>36</v>
      </c>
      <c r="B152" s="58">
        <v>244</v>
      </c>
      <c r="C152" s="58">
        <v>310</v>
      </c>
      <c r="D152" s="5">
        <f t="shared" si="15"/>
        <v>0</v>
      </c>
      <c r="E152" s="2"/>
      <c r="F152" s="2"/>
    </row>
    <row r="153" spans="1:6" ht="75" x14ac:dyDescent="0.25">
      <c r="A153" s="54" t="s">
        <v>68</v>
      </c>
      <c r="B153" s="58">
        <v>244</v>
      </c>
      <c r="C153" s="58">
        <v>320</v>
      </c>
      <c r="D153" s="5">
        <f t="shared" si="15"/>
        <v>0</v>
      </c>
      <c r="E153" s="2"/>
      <c r="F153" s="2"/>
    </row>
    <row r="154" spans="1:6" ht="75" x14ac:dyDescent="0.25">
      <c r="A154" s="54" t="s">
        <v>60</v>
      </c>
      <c r="B154" s="58" t="s">
        <v>5</v>
      </c>
      <c r="C154" s="58">
        <v>340</v>
      </c>
      <c r="D154" s="5">
        <f t="shared" si="15"/>
        <v>0</v>
      </c>
      <c r="E154" s="2">
        <f>E156+E157+E158+E159+E160+E161+E163</f>
        <v>0</v>
      </c>
      <c r="F154" s="2">
        <f>F156+F157+F158+F159+F160+F161+F163</f>
        <v>0</v>
      </c>
    </row>
    <row r="155" spans="1:6" ht="18.75" x14ac:dyDescent="0.25">
      <c r="A155" s="54" t="s">
        <v>6</v>
      </c>
      <c r="B155" s="58"/>
      <c r="C155" s="58"/>
      <c r="D155" s="5"/>
      <c r="E155" s="2"/>
      <c r="F155" s="2"/>
    </row>
    <row r="156" spans="1:6" ht="131.25" x14ac:dyDescent="0.25">
      <c r="A156" s="54" t="s">
        <v>37</v>
      </c>
      <c r="B156" s="58">
        <v>244</v>
      </c>
      <c r="C156" s="58">
        <v>341</v>
      </c>
      <c r="D156" s="5">
        <f t="shared" ref="D156:D163" si="19">E156+F156</f>
        <v>0</v>
      </c>
      <c r="E156" s="2"/>
      <c r="F156" s="2"/>
    </row>
    <row r="157" spans="1:6" ht="56.25" x14ac:dyDescent="0.25">
      <c r="A157" s="54" t="s">
        <v>38</v>
      </c>
      <c r="B157" s="58">
        <v>244</v>
      </c>
      <c r="C157" s="58">
        <v>342</v>
      </c>
      <c r="D157" s="5">
        <f t="shared" si="19"/>
        <v>0</v>
      </c>
      <c r="E157" s="2"/>
      <c r="F157" s="2"/>
    </row>
    <row r="158" spans="1:6" ht="75" x14ac:dyDescent="0.25">
      <c r="A158" s="54" t="s">
        <v>39</v>
      </c>
      <c r="B158" s="58">
        <v>244</v>
      </c>
      <c r="C158" s="58">
        <v>343</v>
      </c>
      <c r="D158" s="5">
        <f t="shared" si="19"/>
        <v>0</v>
      </c>
      <c r="E158" s="2"/>
      <c r="F158" s="2"/>
    </row>
    <row r="159" spans="1:6" ht="75" x14ac:dyDescent="0.25">
      <c r="A159" s="54" t="s">
        <v>40</v>
      </c>
      <c r="B159" s="58">
        <v>244</v>
      </c>
      <c r="C159" s="58">
        <v>344</v>
      </c>
      <c r="D159" s="5">
        <f t="shared" si="19"/>
        <v>0</v>
      </c>
      <c r="E159" s="2"/>
      <c r="F159" s="2"/>
    </row>
    <row r="160" spans="1:6" ht="56.25" x14ac:dyDescent="0.25">
      <c r="A160" s="54" t="s">
        <v>41</v>
      </c>
      <c r="B160" s="58">
        <v>244</v>
      </c>
      <c r="C160" s="58">
        <v>345</v>
      </c>
      <c r="D160" s="5">
        <f t="shared" si="19"/>
        <v>0</v>
      </c>
      <c r="E160" s="2"/>
      <c r="F160" s="2"/>
    </row>
    <row r="161" spans="1:6" ht="75" x14ac:dyDescent="0.25">
      <c r="A161" s="54" t="s">
        <v>42</v>
      </c>
      <c r="B161" s="58">
        <v>244</v>
      </c>
      <c r="C161" s="58">
        <v>346</v>
      </c>
      <c r="D161" s="5">
        <f t="shared" si="19"/>
        <v>0</v>
      </c>
      <c r="E161" s="2"/>
      <c r="F161" s="2"/>
    </row>
    <row r="162" spans="1:6" ht="112.5" x14ac:dyDescent="0.25">
      <c r="A162" s="170" t="s">
        <v>347</v>
      </c>
      <c r="B162" s="171">
        <v>244</v>
      </c>
      <c r="C162" s="171">
        <v>347</v>
      </c>
      <c r="D162" s="5">
        <f t="shared" si="19"/>
        <v>0</v>
      </c>
      <c r="E162" s="2"/>
      <c r="F162" s="2"/>
    </row>
    <row r="163" spans="1:6" ht="112.5" x14ac:dyDescent="0.25">
      <c r="A163" s="54" t="s">
        <v>43</v>
      </c>
      <c r="B163" s="58">
        <v>244</v>
      </c>
      <c r="C163" s="58">
        <v>349</v>
      </c>
      <c r="D163" s="5">
        <f t="shared" si="19"/>
        <v>0</v>
      </c>
      <c r="E163" s="2"/>
      <c r="F163" s="2"/>
    </row>
    <row r="164" spans="1:6" ht="17.45" customHeight="1" x14ac:dyDescent="0.25">
      <c r="A164" s="221" t="s">
        <v>202</v>
      </c>
      <c r="B164" s="222"/>
      <c r="C164" s="222"/>
      <c r="D164" s="222"/>
      <c r="E164" s="222"/>
      <c r="F164" s="223"/>
    </row>
    <row r="165" spans="1:6" ht="18.75" x14ac:dyDescent="0.25">
      <c r="A165" s="54" t="s">
        <v>8</v>
      </c>
      <c r="B165" s="58" t="s">
        <v>5</v>
      </c>
      <c r="C165" s="58">
        <v>200</v>
      </c>
      <c r="D165" s="5">
        <f t="shared" ref="D165" si="20">E165+F165</f>
        <v>0</v>
      </c>
      <c r="E165" s="2">
        <f>E167+E170+E191</f>
        <v>0</v>
      </c>
      <c r="F165" s="2">
        <f>F167+F170+F191</f>
        <v>0</v>
      </c>
    </row>
    <row r="166" spans="1:6" ht="18.75" x14ac:dyDescent="0.25">
      <c r="A166" s="54" t="s">
        <v>9</v>
      </c>
      <c r="B166" s="58"/>
      <c r="C166" s="58"/>
      <c r="D166" s="5"/>
      <c r="E166" s="2"/>
      <c r="F166" s="2"/>
    </row>
    <row r="167" spans="1:6" ht="75" x14ac:dyDescent="0.25">
      <c r="A167" s="54" t="s">
        <v>10</v>
      </c>
      <c r="B167" s="58" t="s">
        <v>5</v>
      </c>
      <c r="C167" s="58">
        <v>210</v>
      </c>
      <c r="D167" s="5">
        <f t="shared" ref="D167" si="21">E167+F167</f>
        <v>0</v>
      </c>
      <c r="E167" s="2">
        <f>E169</f>
        <v>0</v>
      </c>
      <c r="F167" s="2">
        <f>F169</f>
        <v>0</v>
      </c>
    </row>
    <row r="168" spans="1:6" ht="18.75" x14ac:dyDescent="0.25">
      <c r="A168" s="54" t="s">
        <v>9</v>
      </c>
      <c r="B168" s="58"/>
      <c r="C168" s="58"/>
      <c r="D168" s="5"/>
      <c r="E168" s="2"/>
      <c r="F168" s="2"/>
    </row>
    <row r="169" spans="1:6" ht="93.75" x14ac:dyDescent="0.25">
      <c r="A169" s="54" t="s">
        <v>201</v>
      </c>
      <c r="B169" s="58">
        <v>244</v>
      </c>
      <c r="C169" s="58">
        <v>214</v>
      </c>
      <c r="D169" s="5">
        <f>E169+F169</f>
        <v>0</v>
      </c>
      <c r="E169" s="70">
        <f>E27-E124</f>
        <v>0</v>
      </c>
      <c r="F169" s="2"/>
    </row>
    <row r="170" spans="1:6" ht="37.5" x14ac:dyDescent="0.25">
      <c r="A170" s="54" t="s">
        <v>14</v>
      </c>
      <c r="B170" s="58" t="s">
        <v>5</v>
      </c>
      <c r="C170" s="58">
        <v>220</v>
      </c>
      <c r="D170" s="5">
        <f t="shared" ref="D170" si="22">E170+F170</f>
        <v>0</v>
      </c>
      <c r="E170" s="2">
        <f>E172+E173+E174+E182+E183+E186+E189+E190</f>
        <v>0</v>
      </c>
      <c r="F170" s="2">
        <f>F172+F173+F174+F182+F183+F186+F189</f>
        <v>0</v>
      </c>
    </row>
    <row r="171" spans="1:6" ht="18.75" x14ac:dyDescent="0.25">
      <c r="A171" s="54" t="s">
        <v>9</v>
      </c>
      <c r="B171" s="58"/>
      <c r="C171" s="58"/>
      <c r="D171" s="5"/>
      <c r="E171" s="2"/>
      <c r="F171" s="2"/>
    </row>
    <row r="172" spans="1:6" ht="18.75" x14ac:dyDescent="0.25">
      <c r="A172" s="54" t="s">
        <v>15</v>
      </c>
      <c r="B172" s="58">
        <v>244</v>
      </c>
      <c r="C172" s="58">
        <v>221</v>
      </c>
      <c r="D172" s="5">
        <f t="shared" ref="D172:D174" si="23">E172+F172</f>
        <v>0</v>
      </c>
      <c r="E172" s="2">
        <f>E30-E127</f>
        <v>0</v>
      </c>
      <c r="F172" s="2"/>
    </row>
    <row r="173" spans="1:6" ht="37.5" x14ac:dyDescent="0.25">
      <c r="A173" s="54" t="s">
        <v>16</v>
      </c>
      <c r="B173" s="58">
        <v>244</v>
      </c>
      <c r="C173" s="58">
        <v>222</v>
      </c>
      <c r="D173" s="5">
        <f t="shared" si="23"/>
        <v>0</v>
      </c>
      <c r="E173" s="70">
        <f>E33-E128</f>
        <v>0</v>
      </c>
      <c r="F173" s="2"/>
    </row>
    <row r="174" spans="1:6" ht="37.5" x14ac:dyDescent="0.25">
      <c r="A174" s="54" t="s">
        <v>17</v>
      </c>
      <c r="B174" s="58" t="s">
        <v>5</v>
      </c>
      <c r="C174" s="58">
        <v>223</v>
      </c>
      <c r="D174" s="5">
        <f t="shared" si="23"/>
        <v>0</v>
      </c>
      <c r="E174" s="2">
        <f t="shared" ref="E174:F174" si="24">E176+E177+E178+E179+E180</f>
        <v>0</v>
      </c>
      <c r="F174" s="2">
        <f t="shared" si="24"/>
        <v>0</v>
      </c>
    </row>
    <row r="175" spans="1:6" ht="18.75" x14ac:dyDescent="0.25">
      <c r="A175" s="54" t="s">
        <v>6</v>
      </c>
      <c r="B175" s="58"/>
      <c r="C175" s="58"/>
      <c r="D175" s="5"/>
      <c r="E175" s="2"/>
      <c r="F175" s="2"/>
    </row>
    <row r="176" spans="1:6" ht="56.25" x14ac:dyDescent="0.25">
      <c r="A176" s="54" t="s">
        <v>18</v>
      </c>
      <c r="B176" s="58">
        <v>244</v>
      </c>
      <c r="C176" s="58">
        <v>223</v>
      </c>
      <c r="D176" s="5">
        <f t="shared" ref="D176:D182" si="25">E176+F176</f>
        <v>0</v>
      </c>
      <c r="E176" s="2">
        <f>E37-E131</f>
        <v>0</v>
      </c>
      <c r="F176" s="2"/>
    </row>
    <row r="177" spans="1:6" ht="37.5" x14ac:dyDescent="0.25">
      <c r="A177" s="54" t="s">
        <v>19</v>
      </c>
      <c r="B177" s="58">
        <v>244</v>
      </c>
      <c r="C177" s="58">
        <v>223</v>
      </c>
      <c r="D177" s="5">
        <f t="shared" si="25"/>
        <v>0</v>
      </c>
      <c r="E177" s="2">
        <f>E39-E132</f>
        <v>0</v>
      </c>
      <c r="F177" s="2"/>
    </row>
    <row r="178" spans="1:6" ht="75" x14ac:dyDescent="0.25">
      <c r="A178" s="54" t="s">
        <v>20</v>
      </c>
      <c r="B178" s="58">
        <v>244</v>
      </c>
      <c r="C178" s="58">
        <v>223</v>
      </c>
      <c r="D178" s="5">
        <f t="shared" si="25"/>
        <v>0</v>
      </c>
      <c r="E178" s="2">
        <f>E41-E133</f>
        <v>0</v>
      </c>
      <c r="F178" s="2"/>
    </row>
    <row r="179" spans="1:6" ht="75" x14ac:dyDescent="0.25">
      <c r="A179" s="54" t="s">
        <v>21</v>
      </c>
      <c r="B179" s="58">
        <v>244</v>
      </c>
      <c r="C179" s="58">
        <v>223</v>
      </c>
      <c r="D179" s="5">
        <f t="shared" si="25"/>
        <v>0</v>
      </c>
      <c r="E179" s="2">
        <f>E42-E134</f>
        <v>0</v>
      </c>
      <c r="F179" s="2"/>
    </row>
    <row r="180" spans="1:6" ht="56.25" x14ac:dyDescent="0.25">
      <c r="A180" s="54" t="s">
        <v>22</v>
      </c>
      <c r="B180" s="58">
        <v>244</v>
      </c>
      <c r="C180" s="58">
        <v>223</v>
      </c>
      <c r="D180" s="5">
        <f t="shared" si="25"/>
        <v>0</v>
      </c>
      <c r="E180" s="2">
        <f>E43-E135</f>
        <v>0</v>
      </c>
      <c r="F180" s="2"/>
    </row>
    <row r="181" spans="1:6" ht="56.25" x14ac:dyDescent="0.25">
      <c r="A181" s="195" t="s">
        <v>446</v>
      </c>
      <c r="B181" s="196">
        <v>244</v>
      </c>
      <c r="C181" s="196">
        <v>223</v>
      </c>
      <c r="D181" s="5">
        <f t="shared" ref="D181" si="26">E181+F181</f>
        <v>0</v>
      </c>
      <c r="E181" s="2">
        <f>E44-E136</f>
        <v>0</v>
      </c>
      <c r="F181" s="2"/>
    </row>
    <row r="182" spans="1:6" ht="168.75" x14ac:dyDescent="0.25">
      <c r="A182" s="54" t="s">
        <v>23</v>
      </c>
      <c r="B182" s="58">
        <v>244</v>
      </c>
      <c r="C182" s="58">
        <v>224</v>
      </c>
      <c r="D182" s="5">
        <f t="shared" si="25"/>
        <v>0</v>
      </c>
      <c r="E182" s="2">
        <f>E45-E137</f>
        <v>0</v>
      </c>
      <c r="F182" s="2"/>
    </row>
    <row r="183" spans="1:6" ht="56.25" x14ac:dyDescent="0.25">
      <c r="A183" s="54" t="s">
        <v>24</v>
      </c>
      <c r="B183" s="58" t="s">
        <v>5</v>
      </c>
      <c r="C183" s="58">
        <v>225</v>
      </c>
      <c r="D183" s="2">
        <f t="shared" ref="D183" si="27">D184+D185</f>
        <v>0</v>
      </c>
      <c r="E183" s="2">
        <f>E184+E185</f>
        <v>0</v>
      </c>
      <c r="F183" s="2">
        <f t="shared" ref="F183" si="28">F184+F185</f>
        <v>0</v>
      </c>
    </row>
    <row r="184" spans="1:6" ht="18.75" x14ac:dyDescent="0.25">
      <c r="A184" s="216" t="s">
        <v>6</v>
      </c>
      <c r="B184" s="58">
        <v>243</v>
      </c>
      <c r="C184" s="58">
        <v>225</v>
      </c>
      <c r="D184" s="5">
        <f t="shared" ref="D184:D195" si="29">E184+F184</f>
        <v>0</v>
      </c>
      <c r="E184" s="2">
        <f>E47-E139</f>
        <v>0</v>
      </c>
      <c r="F184" s="2"/>
    </row>
    <row r="185" spans="1:6" ht="18.75" x14ac:dyDescent="0.25">
      <c r="A185" s="216"/>
      <c r="B185" s="58">
        <v>244</v>
      </c>
      <c r="C185" s="58">
        <v>225</v>
      </c>
      <c r="D185" s="5">
        <f t="shared" si="29"/>
        <v>0</v>
      </c>
      <c r="E185" s="2">
        <f>E48-E140</f>
        <v>0</v>
      </c>
      <c r="F185" s="2"/>
    </row>
    <row r="186" spans="1:6" ht="37.5" x14ac:dyDescent="0.25">
      <c r="A186" s="54" t="s">
        <v>58</v>
      </c>
      <c r="B186" s="58" t="s">
        <v>5</v>
      </c>
      <c r="C186" s="58">
        <v>226</v>
      </c>
      <c r="D186" s="5">
        <f t="shared" si="29"/>
        <v>0</v>
      </c>
      <c r="E186" s="2">
        <f>E187+E188</f>
        <v>0</v>
      </c>
      <c r="F186" s="2">
        <f>F187+F188</f>
        <v>0</v>
      </c>
    </row>
    <row r="187" spans="1:6" ht="18.75" x14ac:dyDescent="0.25">
      <c r="A187" s="216" t="s">
        <v>6</v>
      </c>
      <c r="B187" s="58">
        <v>243</v>
      </c>
      <c r="C187" s="58">
        <v>226</v>
      </c>
      <c r="D187" s="5">
        <f t="shared" si="29"/>
        <v>0</v>
      </c>
      <c r="E187" s="2">
        <f>E53-E142</f>
        <v>0</v>
      </c>
      <c r="F187" s="2"/>
    </row>
    <row r="188" spans="1:6" ht="18.75" x14ac:dyDescent="0.25">
      <c r="A188" s="216"/>
      <c r="B188" s="58">
        <v>244</v>
      </c>
      <c r="C188" s="58">
        <v>226</v>
      </c>
      <c r="D188" s="5">
        <f t="shared" si="29"/>
        <v>0</v>
      </c>
      <c r="E188" s="2">
        <f>E54-E143</f>
        <v>0</v>
      </c>
      <c r="F188" s="2"/>
    </row>
    <row r="189" spans="1:6" ht="18.75" x14ac:dyDescent="0.25">
      <c r="A189" s="54" t="s">
        <v>25</v>
      </c>
      <c r="B189" s="58">
        <v>244</v>
      </c>
      <c r="C189" s="58">
        <v>227</v>
      </c>
      <c r="D189" s="5">
        <f t="shared" si="29"/>
        <v>0</v>
      </c>
      <c r="E189" s="2">
        <f>E55-E144</f>
        <v>0</v>
      </c>
      <c r="F189" s="2"/>
    </row>
    <row r="190" spans="1:6" ht="56.25" x14ac:dyDescent="0.25">
      <c r="A190" s="170" t="s">
        <v>346</v>
      </c>
      <c r="B190" s="171">
        <v>244</v>
      </c>
      <c r="C190" s="171">
        <v>228</v>
      </c>
      <c r="D190" s="5">
        <f t="shared" si="29"/>
        <v>0</v>
      </c>
      <c r="E190" s="2">
        <f>E56-E145</f>
        <v>0</v>
      </c>
      <c r="F190" s="2"/>
    </row>
    <row r="191" spans="1:6" ht="18.75" x14ac:dyDescent="0.25">
      <c r="A191" s="54" t="s">
        <v>30</v>
      </c>
      <c r="B191" s="58" t="s">
        <v>5</v>
      </c>
      <c r="C191" s="58">
        <v>290</v>
      </c>
      <c r="D191" s="5">
        <f t="shared" si="29"/>
        <v>0</v>
      </c>
      <c r="E191" s="2">
        <f>E193+E194</f>
        <v>0</v>
      </c>
      <c r="F191" s="2">
        <f>F193+F194</f>
        <v>0</v>
      </c>
    </row>
    <row r="192" spans="1:6" ht="18.75" x14ac:dyDescent="0.25">
      <c r="A192" s="54" t="s">
        <v>9</v>
      </c>
      <c r="B192" s="58"/>
      <c r="C192" s="58"/>
      <c r="D192" s="5">
        <f t="shared" si="29"/>
        <v>0</v>
      </c>
      <c r="E192" s="2"/>
      <c r="F192" s="2"/>
    </row>
    <row r="193" spans="1:6" ht="56.25" x14ac:dyDescent="0.25">
      <c r="A193" s="54" t="s">
        <v>34</v>
      </c>
      <c r="B193" s="58">
        <v>244</v>
      </c>
      <c r="C193" s="58">
        <v>296</v>
      </c>
      <c r="D193" s="5">
        <f t="shared" si="29"/>
        <v>0</v>
      </c>
      <c r="E193" s="2">
        <f>E74-E148</f>
        <v>0</v>
      </c>
      <c r="F193" s="2"/>
    </row>
    <row r="194" spans="1:6" ht="56.25" x14ac:dyDescent="0.25">
      <c r="A194" s="54" t="s">
        <v>35</v>
      </c>
      <c r="B194" s="58">
        <v>244</v>
      </c>
      <c r="C194" s="58">
        <v>297</v>
      </c>
      <c r="D194" s="5">
        <f t="shared" si="29"/>
        <v>0</v>
      </c>
      <c r="E194" s="2">
        <f>E81-E149</f>
        <v>0</v>
      </c>
      <c r="F194" s="2"/>
    </row>
    <row r="195" spans="1:6" ht="56.25" x14ac:dyDescent="0.25">
      <c r="A195" s="54" t="s">
        <v>59</v>
      </c>
      <c r="B195" s="58" t="s">
        <v>5</v>
      </c>
      <c r="C195" s="58">
        <v>300</v>
      </c>
      <c r="D195" s="5">
        <f t="shared" si="29"/>
        <v>0</v>
      </c>
      <c r="E195" s="2">
        <f>E197+E199+E198</f>
        <v>0</v>
      </c>
      <c r="F195" s="2">
        <f>F197+F199+F198</f>
        <v>0</v>
      </c>
    </row>
    <row r="196" spans="1:6" ht="18.75" x14ac:dyDescent="0.25">
      <c r="A196" s="54" t="s">
        <v>9</v>
      </c>
      <c r="B196" s="58"/>
      <c r="C196" s="58"/>
      <c r="D196" s="5"/>
      <c r="E196" s="2"/>
      <c r="F196" s="2"/>
    </row>
    <row r="197" spans="1:6" ht="56.25" x14ac:dyDescent="0.25">
      <c r="A197" s="54" t="s">
        <v>36</v>
      </c>
      <c r="B197" s="58">
        <v>244</v>
      </c>
      <c r="C197" s="58">
        <v>310</v>
      </c>
      <c r="D197" s="5">
        <f t="shared" ref="D197:D199" si="30">E197+F197</f>
        <v>0</v>
      </c>
      <c r="E197" s="2">
        <f>E86-E152</f>
        <v>0</v>
      </c>
      <c r="F197" s="2"/>
    </row>
    <row r="198" spans="1:6" ht="75" x14ac:dyDescent="0.25">
      <c r="A198" s="54" t="s">
        <v>68</v>
      </c>
      <c r="B198" s="58">
        <v>244</v>
      </c>
      <c r="C198" s="58">
        <v>320</v>
      </c>
      <c r="D198" s="5">
        <f t="shared" si="30"/>
        <v>0</v>
      </c>
      <c r="E198" s="2">
        <f>E87-E153</f>
        <v>0</v>
      </c>
      <c r="F198" s="2"/>
    </row>
    <row r="199" spans="1:6" ht="75" x14ac:dyDescent="0.25">
      <c r="A199" s="54" t="s">
        <v>60</v>
      </c>
      <c r="B199" s="58" t="s">
        <v>5</v>
      </c>
      <c r="C199" s="58">
        <v>340</v>
      </c>
      <c r="D199" s="5">
        <f t="shared" si="30"/>
        <v>0</v>
      </c>
      <c r="E199" s="2">
        <f>E201+E202+E203+E204+E205+E206+E208</f>
        <v>0</v>
      </c>
      <c r="F199" s="2">
        <f>F201+F202+F203+F204+F205+F206+F208</f>
        <v>0</v>
      </c>
    </row>
    <row r="200" spans="1:6" ht="18.75" x14ac:dyDescent="0.25">
      <c r="A200" s="54" t="s">
        <v>6</v>
      </c>
      <c r="B200" s="58"/>
      <c r="C200" s="58"/>
      <c r="D200" s="5"/>
      <c r="E200" s="2"/>
      <c r="F200" s="2"/>
    </row>
    <row r="201" spans="1:6" ht="131.25" x14ac:dyDescent="0.25">
      <c r="A201" s="54" t="s">
        <v>37</v>
      </c>
      <c r="B201" s="58">
        <v>244</v>
      </c>
      <c r="C201" s="58">
        <v>341</v>
      </c>
      <c r="D201" s="5">
        <f t="shared" ref="D201:D208" si="31">E201+F201</f>
        <v>0</v>
      </c>
      <c r="E201" s="2">
        <f t="shared" ref="E201:E207" si="32">E90-E156</f>
        <v>0</v>
      </c>
      <c r="F201" s="2"/>
    </row>
    <row r="202" spans="1:6" ht="56.25" x14ac:dyDescent="0.25">
      <c r="A202" s="54" t="s">
        <v>38</v>
      </c>
      <c r="B202" s="58">
        <v>244</v>
      </c>
      <c r="C202" s="58">
        <v>342</v>
      </c>
      <c r="D202" s="5">
        <f t="shared" si="31"/>
        <v>0</v>
      </c>
      <c r="E202" s="2">
        <f t="shared" si="32"/>
        <v>0</v>
      </c>
      <c r="F202" s="2"/>
    </row>
    <row r="203" spans="1:6" ht="75" x14ac:dyDescent="0.25">
      <c r="A203" s="54" t="s">
        <v>39</v>
      </c>
      <c r="B203" s="58">
        <v>244</v>
      </c>
      <c r="C203" s="58">
        <v>343</v>
      </c>
      <c r="D203" s="5">
        <f t="shared" si="31"/>
        <v>0</v>
      </c>
      <c r="E203" s="2">
        <f t="shared" si="32"/>
        <v>0</v>
      </c>
      <c r="F203" s="2"/>
    </row>
    <row r="204" spans="1:6" ht="75" x14ac:dyDescent="0.25">
      <c r="A204" s="54" t="s">
        <v>40</v>
      </c>
      <c r="B204" s="58">
        <v>244</v>
      </c>
      <c r="C204" s="58">
        <v>344</v>
      </c>
      <c r="D204" s="5">
        <f t="shared" si="31"/>
        <v>0</v>
      </c>
      <c r="E204" s="2">
        <f t="shared" si="32"/>
        <v>0</v>
      </c>
      <c r="F204" s="2"/>
    </row>
    <row r="205" spans="1:6" ht="56.25" x14ac:dyDescent="0.25">
      <c r="A205" s="54" t="s">
        <v>41</v>
      </c>
      <c r="B205" s="58">
        <v>244</v>
      </c>
      <c r="C205" s="58">
        <v>345</v>
      </c>
      <c r="D205" s="5">
        <f t="shared" si="31"/>
        <v>0</v>
      </c>
      <c r="E205" s="2">
        <f t="shared" si="32"/>
        <v>0</v>
      </c>
      <c r="F205" s="2"/>
    </row>
    <row r="206" spans="1:6" ht="75" x14ac:dyDescent="0.25">
      <c r="A206" s="54" t="s">
        <v>42</v>
      </c>
      <c r="B206" s="58">
        <v>244</v>
      </c>
      <c r="C206" s="58">
        <v>346</v>
      </c>
      <c r="D206" s="5">
        <f t="shared" si="31"/>
        <v>0</v>
      </c>
      <c r="E206" s="2">
        <f t="shared" si="32"/>
        <v>0</v>
      </c>
      <c r="F206" s="2"/>
    </row>
    <row r="207" spans="1:6" ht="112.5" x14ac:dyDescent="0.25">
      <c r="A207" s="170" t="s">
        <v>347</v>
      </c>
      <c r="B207" s="171">
        <v>244</v>
      </c>
      <c r="C207" s="171">
        <v>347</v>
      </c>
      <c r="D207" s="5">
        <f t="shared" ref="D207" si="33">E207+F207</f>
        <v>0</v>
      </c>
      <c r="E207" s="2">
        <f t="shared" si="32"/>
        <v>0</v>
      </c>
      <c r="F207" s="2"/>
    </row>
    <row r="208" spans="1:6" ht="112.5" x14ac:dyDescent="0.25">
      <c r="A208" s="54" t="s">
        <v>43</v>
      </c>
      <c r="B208" s="58">
        <v>244</v>
      </c>
      <c r="C208" s="58">
        <v>349</v>
      </c>
      <c r="D208" s="5">
        <f t="shared" si="31"/>
        <v>0</v>
      </c>
      <c r="E208" s="2">
        <f t="shared" ref="E208" si="34">E97-E163</f>
        <v>0</v>
      </c>
      <c r="F208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09:C109"/>
    <mergeCell ref="E109:F109"/>
    <mergeCell ref="A67:A69"/>
    <mergeCell ref="A74:A79"/>
    <mergeCell ref="A81:A83"/>
    <mergeCell ref="B105:C105"/>
    <mergeCell ref="E105:F105"/>
    <mergeCell ref="B108:C108"/>
    <mergeCell ref="E108:F108"/>
    <mergeCell ref="B106:C106"/>
    <mergeCell ref="E106:F106"/>
    <mergeCell ref="A26:A27"/>
    <mergeCell ref="A32:A33"/>
    <mergeCell ref="A47:A48"/>
    <mergeCell ref="A50:A54"/>
    <mergeCell ref="A61:A62"/>
    <mergeCell ref="B111:C111"/>
    <mergeCell ref="E111:F111"/>
    <mergeCell ref="B112:C112"/>
    <mergeCell ref="E112:F112"/>
    <mergeCell ref="A114:B114"/>
    <mergeCell ref="A184:A185"/>
    <mergeCell ref="A187:A188"/>
    <mergeCell ref="A115:F115"/>
    <mergeCell ref="A119:F119"/>
    <mergeCell ref="A139:A140"/>
    <mergeCell ref="A142:A143"/>
    <mergeCell ref="A164:F164"/>
  </mergeCells>
  <pageMargins left="1.3779527559055118" right="0.39370078740157483" top="0.98425196850393704" bottom="0.78740157480314965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zoomScaleNormal="100" zoomScaleSheetLayoutView="100" workbookViewId="0">
      <selection activeCell="D14" sqref="D14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2" t="s">
        <v>263</v>
      </c>
      <c r="B1" s="232"/>
      <c r="C1" s="232"/>
      <c r="D1" s="232"/>
      <c r="E1" s="232"/>
      <c r="F1" s="232"/>
    </row>
    <row r="2" spans="1:6" ht="18.75" x14ac:dyDescent="0.25">
      <c r="A2" s="232" t="s">
        <v>472</v>
      </c>
      <c r="B2" s="232"/>
      <c r="C2" s="232"/>
      <c r="D2" s="232"/>
      <c r="E2" s="232"/>
      <c r="F2" s="232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4" t="s">
        <v>0</v>
      </c>
      <c r="B5" s="226" t="s">
        <v>45</v>
      </c>
      <c r="C5" s="228" t="s">
        <v>46</v>
      </c>
      <c r="D5" s="226" t="s">
        <v>1</v>
      </c>
      <c r="E5" s="226" t="s">
        <v>197</v>
      </c>
      <c r="F5" s="236"/>
    </row>
    <row r="6" spans="1:6" ht="15.75" x14ac:dyDescent="0.25">
      <c r="A6" s="238"/>
      <c r="B6" s="237"/>
      <c r="C6" s="239"/>
      <c r="D6" s="237"/>
      <c r="E6" s="240" t="s">
        <v>6</v>
      </c>
      <c r="F6" s="241"/>
    </row>
    <row r="7" spans="1:6" ht="221.25" thickBot="1" x14ac:dyDescent="0.3">
      <c r="A7" s="225"/>
      <c r="B7" s="227"/>
      <c r="C7" s="229"/>
      <c r="D7" s="227"/>
      <c r="E7" s="11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8.75" x14ac:dyDescent="0.25">
      <c r="A9" s="115" t="s">
        <v>184</v>
      </c>
      <c r="B9" s="119" t="s">
        <v>5</v>
      </c>
      <c r="C9" s="119" t="s">
        <v>5</v>
      </c>
      <c r="D9" s="5">
        <f t="shared" ref="D9:D10" si="0">E9+F9</f>
        <v>0</v>
      </c>
      <c r="E9" s="2"/>
      <c r="F9" s="4"/>
    </row>
    <row r="10" spans="1:6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E13+E46+E61+E91</f>
        <v>0</v>
      </c>
      <c r="F10" s="4">
        <f>F13+F46+F61+F91</f>
        <v>0</v>
      </c>
    </row>
    <row r="11" spans="1:6" ht="18.75" x14ac:dyDescent="0.25">
      <c r="A11" s="115" t="s">
        <v>6</v>
      </c>
      <c r="B11" s="119"/>
      <c r="C11" s="119"/>
      <c r="D11" s="5"/>
      <c r="E11" s="2"/>
      <c r="F11" s="4"/>
    </row>
    <row r="12" spans="1:6" ht="33.6" customHeight="1" x14ac:dyDescent="0.25">
      <c r="A12" s="233" t="s">
        <v>200</v>
      </c>
      <c r="B12" s="234"/>
      <c r="C12" s="234"/>
      <c r="D12" s="234"/>
      <c r="E12" s="234"/>
      <c r="F12" s="235"/>
    </row>
    <row r="13" spans="1:6" ht="18.75" x14ac:dyDescent="0.25">
      <c r="A13" s="115" t="s">
        <v>8</v>
      </c>
      <c r="B13" s="119" t="s">
        <v>5</v>
      </c>
      <c r="C13" s="119">
        <v>200</v>
      </c>
      <c r="D13" s="5">
        <f t="shared" ref="D13:D50" si="1">E13+F13</f>
        <v>0</v>
      </c>
      <c r="E13" s="2">
        <f>E15+E18+E42</f>
        <v>0</v>
      </c>
      <c r="F13" s="4">
        <f>F15+F18+F42</f>
        <v>0</v>
      </c>
    </row>
    <row r="14" spans="1:6" ht="14.45" customHeight="1" x14ac:dyDescent="0.25">
      <c r="A14" s="115" t="s">
        <v>9</v>
      </c>
      <c r="B14" s="119"/>
      <c r="C14" s="119"/>
      <c r="D14" s="5"/>
      <c r="E14" s="2"/>
      <c r="F14" s="4"/>
    </row>
    <row r="15" spans="1:6" ht="75" x14ac:dyDescent="0.25">
      <c r="A15" s="115" t="s">
        <v>10</v>
      </c>
      <c r="B15" s="119" t="s">
        <v>5</v>
      </c>
      <c r="C15" s="119">
        <v>210</v>
      </c>
      <c r="D15" s="5">
        <f t="shared" si="1"/>
        <v>0</v>
      </c>
      <c r="E15" s="2">
        <f>E17</f>
        <v>0</v>
      </c>
      <c r="F15" s="4">
        <f>F17</f>
        <v>0</v>
      </c>
    </row>
    <row r="16" spans="1:6" ht="18.75" x14ac:dyDescent="0.25">
      <c r="A16" s="115" t="s">
        <v>9</v>
      </c>
      <c r="B16" s="119"/>
      <c r="C16" s="119"/>
      <c r="D16" s="5"/>
      <c r="E16" s="2"/>
      <c r="F16" s="4"/>
    </row>
    <row r="17" spans="1:6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'иные субсидии 2022 год '!E124</f>
        <v>0</v>
      </c>
      <c r="F17" s="4"/>
    </row>
    <row r="18" spans="1:6" ht="37.5" x14ac:dyDescent="0.25">
      <c r="A18" s="115" t="s">
        <v>14</v>
      </c>
      <c r="B18" s="119" t="s">
        <v>5</v>
      </c>
      <c r="C18" s="119">
        <v>220</v>
      </c>
      <c r="D18" s="5">
        <f t="shared" si="1"/>
        <v>0</v>
      </c>
      <c r="E18" s="2">
        <f>E20+E21+E22+E33+E34+E37+E40+E41</f>
        <v>0</v>
      </c>
      <c r="F18" s="4">
        <f>F20+F21+F22+F33+F34+F37+F40</f>
        <v>0</v>
      </c>
    </row>
    <row r="19" spans="1:6" ht="18.75" x14ac:dyDescent="0.25">
      <c r="A19" s="115" t="s">
        <v>9</v>
      </c>
      <c r="B19" s="119"/>
      <c r="C19" s="119"/>
      <c r="D19" s="5"/>
      <c r="E19" s="2"/>
      <c r="F19" s="4"/>
    </row>
    <row r="20" spans="1:6" ht="18.75" x14ac:dyDescent="0.25">
      <c r="A20" s="115" t="s">
        <v>15</v>
      </c>
      <c r="B20" s="119">
        <v>244</v>
      </c>
      <c r="C20" s="119">
        <v>221</v>
      </c>
      <c r="D20" s="5">
        <f t="shared" si="1"/>
        <v>0</v>
      </c>
      <c r="E20" s="2">
        <f>'иные субсидии 2022 год '!E127</f>
        <v>0</v>
      </c>
      <c r="F20" s="4"/>
    </row>
    <row r="21" spans="1:6" ht="37.5" x14ac:dyDescent="0.25">
      <c r="A21" s="115" t="s">
        <v>16</v>
      </c>
      <c r="B21" s="119">
        <v>244</v>
      </c>
      <c r="C21" s="119">
        <v>222</v>
      </c>
      <c r="D21" s="5">
        <f t="shared" si="1"/>
        <v>0</v>
      </c>
      <c r="E21" s="2">
        <f>'иные субсидии 2022 год '!E128</f>
        <v>0</v>
      </c>
      <c r="F21" s="4"/>
    </row>
    <row r="22" spans="1:6" ht="37.5" x14ac:dyDescent="0.25">
      <c r="A22" s="115" t="s">
        <v>17</v>
      </c>
      <c r="B22" s="119" t="s">
        <v>5</v>
      </c>
      <c r="C22" s="119">
        <v>223</v>
      </c>
      <c r="D22" s="5">
        <f t="shared" si="1"/>
        <v>0</v>
      </c>
      <c r="E22" s="2">
        <f t="shared" ref="E22:F22" si="2">E25+E27+E29+E30+E31</f>
        <v>0</v>
      </c>
      <c r="F22" s="4">
        <f t="shared" si="2"/>
        <v>0</v>
      </c>
    </row>
    <row r="23" spans="1:6" ht="18.75" x14ac:dyDescent="0.25">
      <c r="A23" s="115" t="s">
        <v>6</v>
      </c>
      <c r="B23" s="119"/>
      <c r="C23" s="119"/>
      <c r="D23" s="5"/>
      <c r="E23" s="2"/>
      <c r="F23" s="4"/>
    </row>
    <row r="24" spans="1:6" ht="56.25" x14ac:dyDescent="0.25">
      <c r="A24" s="190" t="s">
        <v>18</v>
      </c>
      <c r="B24" s="191">
        <v>244</v>
      </c>
      <c r="C24" s="191">
        <v>223</v>
      </c>
      <c r="D24" s="5">
        <f t="shared" ref="D24" si="3">E24+F24</f>
        <v>0</v>
      </c>
      <c r="E24" s="2">
        <f>'иные субсидии 2022 год '!E130</f>
        <v>0</v>
      </c>
      <c r="F24" s="4"/>
    </row>
    <row r="25" spans="1:6" ht="56.25" x14ac:dyDescent="0.25">
      <c r="A25" s="115" t="s">
        <v>18</v>
      </c>
      <c r="B25" s="119">
        <v>247</v>
      </c>
      <c r="C25" s="119">
        <v>223</v>
      </c>
      <c r="D25" s="5">
        <f t="shared" si="1"/>
        <v>0</v>
      </c>
      <c r="E25" s="2">
        <f>'иные субсидии 2022 год '!E131</f>
        <v>0</v>
      </c>
      <c r="F25" s="4"/>
    </row>
    <row r="26" spans="1:6" ht="37.5" x14ac:dyDescent="0.25">
      <c r="A26" s="190" t="s">
        <v>19</v>
      </c>
      <c r="B26" s="191">
        <v>244</v>
      </c>
      <c r="C26" s="191">
        <v>223</v>
      </c>
      <c r="D26" s="5">
        <f t="shared" ref="D26" si="4">E26+F26</f>
        <v>0</v>
      </c>
      <c r="E26" s="2">
        <f>'иные субсидии 2022 год '!E131</f>
        <v>0</v>
      </c>
      <c r="F26" s="4"/>
    </row>
    <row r="27" spans="1:6" ht="37.5" x14ac:dyDescent="0.25">
      <c r="A27" s="115" t="s">
        <v>19</v>
      </c>
      <c r="B27" s="119">
        <v>247</v>
      </c>
      <c r="C27" s="119">
        <v>223</v>
      </c>
      <c r="D27" s="5">
        <f t="shared" si="1"/>
        <v>0</v>
      </c>
      <c r="E27" s="2">
        <f>'иные субсидии 2022 год '!E132</f>
        <v>0</v>
      </c>
      <c r="F27" s="4"/>
    </row>
    <row r="28" spans="1:6" ht="75" x14ac:dyDescent="0.25">
      <c r="A28" s="190" t="s">
        <v>20</v>
      </c>
      <c r="B28" s="191">
        <v>244</v>
      </c>
      <c r="C28" s="191">
        <v>223</v>
      </c>
      <c r="D28" s="5">
        <f t="shared" ref="D28" si="5">E28+F28</f>
        <v>0</v>
      </c>
      <c r="E28" s="2">
        <f>'иные субсидии 2022 год '!E132</f>
        <v>0</v>
      </c>
      <c r="F28" s="4"/>
    </row>
    <row r="29" spans="1:6" ht="75" x14ac:dyDescent="0.25">
      <c r="A29" s="115" t="s">
        <v>20</v>
      </c>
      <c r="B29" s="119">
        <v>247</v>
      </c>
      <c r="C29" s="119">
        <v>223</v>
      </c>
      <c r="D29" s="5">
        <f t="shared" si="1"/>
        <v>0</v>
      </c>
      <c r="E29" s="2">
        <f>'иные субсидии 2022 год '!E133</f>
        <v>0</v>
      </c>
      <c r="F29" s="4"/>
    </row>
    <row r="30" spans="1:6" ht="75" x14ac:dyDescent="0.25">
      <c r="A30" s="115" t="s">
        <v>21</v>
      </c>
      <c r="B30" s="119">
        <v>244</v>
      </c>
      <c r="C30" s="119">
        <v>223</v>
      </c>
      <c r="D30" s="5">
        <f t="shared" si="1"/>
        <v>0</v>
      </c>
      <c r="E30" s="2">
        <f>'иные субсидии 2022 год '!E134</f>
        <v>0</v>
      </c>
      <c r="F30" s="4"/>
    </row>
    <row r="31" spans="1:6" ht="56.25" x14ac:dyDescent="0.25">
      <c r="A31" s="115" t="s">
        <v>22</v>
      </c>
      <c r="B31" s="119">
        <v>244</v>
      </c>
      <c r="C31" s="119">
        <v>223</v>
      </c>
      <c r="D31" s="5">
        <f t="shared" si="1"/>
        <v>0</v>
      </c>
      <c r="E31" s="2">
        <f>'иные субсидии 2022 год '!E135</f>
        <v>0</v>
      </c>
      <c r="F31" s="4"/>
    </row>
    <row r="32" spans="1:6" ht="56.25" x14ac:dyDescent="0.25">
      <c r="A32" s="195" t="s">
        <v>446</v>
      </c>
      <c r="B32" s="196">
        <v>244</v>
      </c>
      <c r="C32" s="196">
        <v>223</v>
      </c>
      <c r="D32" s="5">
        <f t="shared" ref="D32" si="6">E32+F32</f>
        <v>0</v>
      </c>
      <c r="E32" s="2">
        <f>'иные субсидии 2022 год '!E136</f>
        <v>0</v>
      </c>
      <c r="F32" s="4"/>
    </row>
    <row r="33" spans="1:6" ht="168.75" x14ac:dyDescent="0.25">
      <c r="A33" s="115" t="s">
        <v>23</v>
      </c>
      <c r="B33" s="119">
        <v>244</v>
      </c>
      <c r="C33" s="119">
        <v>224</v>
      </c>
      <c r="D33" s="5">
        <f t="shared" si="1"/>
        <v>0</v>
      </c>
      <c r="E33" s="2">
        <f>'иные субсидии 2022 год '!E137</f>
        <v>0</v>
      </c>
      <c r="F33" s="4"/>
    </row>
    <row r="34" spans="1:6" ht="56.25" x14ac:dyDescent="0.25">
      <c r="A34" s="115" t="s">
        <v>24</v>
      </c>
      <c r="B34" s="119" t="s">
        <v>5</v>
      </c>
      <c r="C34" s="119">
        <v>225</v>
      </c>
      <c r="D34" s="2">
        <f t="shared" ref="D34:F34" si="7">D35+D36</f>
        <v>0</v>
      </c>
      <c r="E34" s="2">
        <f>E35+E36</f>
        <v>0</v>
      </c>
      <c r="F34" s="4">
        <f t="shared" si="7"/>
        <v>0</v>
      </c>
    </row>
    <row r="35" spans="1:6" ht="18.75" x14ac:dyDescent="0.25">
      <c r="A35" s="216" t="s">
        <v>6</v>
      </c>
      <c r="B35" s="119">
        <v>243</v>
      </c>
      <c r="C35" s="119">
        <v>225</v>
      </c>
      <c r="D35" s="5">
        <f t="shared" si="1"/>
        <v>0</v>
      </c>
      <c r="E35" s="2">
        <f>'иные субсидии 2022 год '!E139</f>
        <v>0</v>
      </c>
      <c r="F35" s="4"/>
    </row>
    <row r="36" spans="1:6" ht="18.75" x14ac:dyDescent="0.25">
      <c r="A36" s="216"/>
      <c r="B36" s="119">
        <v>244</v>
      </c>
      <c r="C36" s="119">
        <v>225</v>
      </c>
      <c r="D36" s="5">
        <f t="shared" si="1"/>
        <v>0</v>
      </c>
      <c r="E36" s="2">
        <f>'иные субсидии 2022 год '!E140</f>
        <v>0</v>
      </c>
      <c r="F36" s="4"/>
    </row>
    <row r="37" spans="1:6" ht="37.5" x14ac:dyDescent="0.25">
      <c r="A37" s="115" t="s">
        <v>58</v>
      </c>
      <c r="B37" s="119" t="s">
        <v>5</v>
      </c>
      <c r="C37" s="119">
        <v>226</v>
      </c>
      <c r="D37" s="5">
        <f t="shared" si="1"/>
        <v>0</v>
      </c>
      <c r="E37" s="2">
        <f>E38+E39</f>
        <v>0</v>
      </c>
      <c r="F37" s="4">
        <f>F38+F39</f>
        <v>0</v>
      </c>
    </row>
    <row r="38" spans="1:6" ht="18.75" x14ac:dyDescent="0.25">
      <c r="A38" s="216" t="s">
        <v>6</v>
      </c>
      <c r="B38" s="119">
        <v>243</v>
      </c>
      <c r="C38" s="119">
        <v>226</v>
      </c>
      <c r="D38" s="5">
        <f t="shared" si="1"/>
        <v>0</v>
      </c>
      <c r="E38" s="2">
        <f>'иные субсидии 2022 год '!E142</f>
        <v>0</v>
      </c>
      <c r="F38" s="4"/>
    </row>
    <row r="39" spans="1:6" ht="18.75" x14ac:dyDescent="0.25">
      <c r="A39" s="216"/>
      <c r="B39" s="119">
        <v>244</v>
      </c>
      <c r="C39" s="119">
        <v>226</v>
      </c>
      <c r="D39" s="5">
        <f t="shared" si="1"/>
        <v>0</v>
      </c>
      <c r="E39" s="2">
        <f>'иные субсидии 2022 год '!E143</f>
        <v>0</v>
      </c>
      <c r="F39" s="4"/>
    </row>
    <row r="40" spans="1:6" ht="18.75" x14ac:dyDescent="0.25">
      <c r="A40" s="115" t="s">
        <v>25</v>
      </c>
      <c r="B40" s="119">
        <v>244</v>
      </c>
      <c r="C40" s="119">
        <v>227</v>
      </c>
      <c r="D40" s="5">
        <f>E40+F40</f>
        <v>0</v>
      </c>
      <c r="E40" s="2">
        <f>'иные субсидии 2022 год '!E144</f>
        <v>0</v>
      </c>
      <c r="F40" s="4"/>
    </row>
    <row r="41" spans="1:6" ht="56.25" x14ac:dyDescent="0.25">
      <c r="A41" s="170" t="s">
        <v>346</v>
      </c>
      <c r="B41" s="171">
        <v>244</v>
      </c>
      <c r="C41" s="171">
        <v>228</v>
      </c>
      <c r="D41" s="5">
        <f>E41+F41</f>
        <v>0</v>
      </c>
      <c r="E41" s="2">
        <f>'иные субсидии 2022 год '!E145</f>
        <v>0</v>
      </c>
      <c r="F41" s="4"/>
    </row>
    <row r="42" spans="1:6" ht="18.75" x14ac:dyDescent="0.25">
      <c r="A42" s="115" t="s">
        <v>30</v>
      </c>
      <c r="B42" s="119" t="s">
        <v>5</v>
      </c>
      <c r="C42" s="119">
        <v>290</v>
      </c>
      <c r="D42" s="5">
        <f t="shared" si="1"/>
        <v>0</v>
      </c>
      <c r="E42" s="2">
        <f>E44+E45</f>
        <v>0</v>
      </c>
      <c r="F42" s="4">
        <f>F44+F45</f>
        <v>0</v>
      </c>
    </row>
    <row r="43" spans="1:6" ht="18.75" x14ac:dyDescent="0.25">
      <c r="A43" s="115" t="s">
        <v>9</v>
      </c>
      <c r="B43" s="119"/>
      <c r="C43" s="119"/>
      <c r="D43" s="5">
        <f t="shared" si="1"/>
        <v>0</v>
      </c>
      <c r="E43" s="2"/>
      <c r="F43" s="4"/>
    </row>
    <row r="44" spans="1:6" ht="56.25" x14ac:dyDescent="0.25">
      <c r="A44" s="115" t="s">
        <v>34</v>
      </c>
      <c r="B44" s="119">
        <v>244</v>
      </c>
      <c r="C44" s="119">
        <v>296</v>
      </c>
      <c r="D44" s="5">
        <f t="shared" si="1"/>
        <v>0</v>
      </c>
      <c r="E44" s="2">
        <f>'иные субсидии 2022 год '!E148</f>
        <v>0</v>
      </c>
      <c r="F44" s="4"/>
    </row>
    <row r="45" spans="1:6" ht="56.25" x14ac:dyDescent="0.25">
      <c r="A45" s="115" t="s">
        <v>35</v>
      </c>
      <c r="B45" s="119">
        <v>244</v>
      </c>
      <c r="C45" s="119">
        <v>297</v>
      </c>
      <c r="D45" s="5">
        <f t="shared" si="1"/>
        <v>0</v>
      </c>
      <c r="E45" s="2">
        <f>'иные субсидии 2022 год '!E149</f>
        <v>0</v>
      </c>
      <c r="F45" s="4"/>
    </row>
    <row r="46" spans="1:6" ht="56.25" x14ac:dyDescent="0.25">
      <c r="A46" s="115" t="s">
        <v>59</v>
      </c>
      <c r="B46" s="119" t="s">
        <v>5</v>
      </c>
      <c r="C46" s="119">
        <v>300</v>
      </c>
      <c r="D46" s="5">
        <f t="shared" si="1"/>
        <v>0</v>
      </c>
      <c r="E46" s="2">
        <f>E48+E50+E49</f>
        <v>0</v>
      </c>
      <c r="F46" s="4">
        <f>F48+F50+F49</f>
        <v>0</v>
      </c>
    </row>
    <row r="47" spans="1:6" ht="18.75" x14ac:dyDescent="0.25">
      <c r="A47" s="115" t="s">
        <v>9</v>
      </c>
      <c r="B47" s="119"/>
      <c r="C47" s="119"/>
      <c r="D47" s="5"/>
      <c r="E47" s="2"/>
      <c r="F47" s="4"/>
    </row>
    <row r="48" spans="1:6" ht="56.25" x14ac:dyDescent="0.25">
      <c r="A48" s="115" t="s">
        <v>36</v>
      </c>
      <c r="B48" s="119">
        <v>244</v>
      </c>
      <c r="C48" s="119">
        <v>310</v>
      </c>
      <c r="D48" s="5">
        <f t="shared" si="1"/>
        <v>0</v>
      </c>
      <c r="E48" s="2">
        <f>'иные субсидии 2022 год '!E152</f>
        <v>0</v>
      </c>
      <c r="F48" s="4"/>
    </row>
    <row r="49" spans="1:6" ht="75" x14ac:dyDescent="0.25">
      <c r="A49" s="115" t="s">
        <v>68</v>
      </c>
      <c r="B49" s="119">
        <v>244</v>
      </c>
      <c r="C49" s="119">
        <v>320</v>
      </c>
      <c r="D49" s="5">
        <f t="shared" si="1"/>
        <v>0</v>
      </c>
      <c r="E49" s="2">
        <f>'иные субсидии 2022 год '!E153</f>
        <v>0</v>
      </c>
      <c r="F49" s="4"/>
    </row>
    <row r="50" spans="1:6" ht="75" x14ac:dyDescent="0.25">
      <c r="A50" s="115" t="s">
        <v>60</v>
      </c>
      <c r="B50" s="119" t="s">
        <v>5</v>
      </c>
      <c r="C50" s="119">
        <v>340</v>
      </c>
      <c r="D50" s="5">
        <f t="shared" si="1"/>
        <v>0</v>
      </c>
      <c r="E50" s="2">
        <f>E52+E53+E54+E55+E56+E57+E59</f>
        <v>0</v>
      </c>
      <c r="F50" s="4">
        <f>F52+F53+F54+F55+F56+F57+F59</f>
        <v>0</v>
      </c>
    </row>
    <row r="51" spans="1:6" ht="18.75" x14ac:dyDescent="0.25">
      <c r="A51" s="115" t="s">
        <v>6</v>
      </c>
      <c r="B51" s="119"/>
      <c r="C51" s="119"/>
      <c r="D51" s="5"/>
      <c r="E51" s="2"/>
      <c r="F51" s="4"/>
    </row>
    <row r="52" spans="1:6" ht="131.25" x14ac:dyDescent="0.25">
      <c r="A52" s="115" t="s">
        <v>37</v>
      </c>
      <c r="B52" s="119">
        <v>244</v>
      </c>
      <c r="C52" s="119">
        <v>341</v>
      </c>
      <c r="D52" s="5">
        <f t="shared" ref="D52:D59" si="8">E52+F52</f>
        <v>0</v>
      </c>
      <c r="E52" s="2">
        <f>'иные субсидии 2022 год '!E156</f>
        <v>0</v>
      </c>
      <c r="F52" s="4"/>
    </row>
    <row r="53" spans="1:6" ht="56.25" x14ac:dyDescent="0.25">
      <c r="A53" s="115" t="s">
        <v>38</v>
      </c>
      <c r="B53" s="119">
        <v>244</v>
      </c>
      <c r="C53" s="119">
        <v>342</v>
      </c>
      <c r="D53" s="5">
        <f t="shared" si="8"/>
        <v>0</v>
      </c>
      <c r="E53" s="2">
        <f>'иные субсидии 2022 год '!E157</f>
        <v>0</v>
      </c>
      <c r="F53" s="4"/>
    </row>
    <row r="54" spans="1:6" ht="75" x14ac:dyDescent="0.25">
      <c r="A54" s="115" t="s">
        <v>39</v>
      </c>
      <c r="B54" s="119">
        <v>244</v>
      </c>
      <c r="C54" s="119">
        <v>343</v>
      </c>
      <c r="D54" s="5">
        <f t="shared" si="8"/>
        <v>0</v>
      </c>
      <c r="E54" s="2">
        <f>'иные субсидии 2022 год '!E158</f>
        <v>0</v>
      </c>
      <c r="F54" s="4"/>
    </row>
    <row r="55" spans="1:6" ht="75" x14ac:dyDescent="0.25">
      <c r="A55" s="115" t="s">
        <v>40</v>
      </c>
      <c r="B55" s="119">
        <v>244</v>
      </c>
      <c r="C55" s="119">
        <v>344</v>
      </c>
      <c r="D55" s="5">
        <f t="shared" si="8"/>
        <v>0</v>
      </c>
      <c r="E55" s="2">
        <f>'иные субсидии 2022 год '!E159</f>
        <v>0</v>
      </c>
      <c r="F55" s="4"/>
    </row>
    <row r="56" spans="1:6" ht="56.25" x14ac:dyDescent="0.25">
      <c r="A56" s="115" t="s">
        <v>41</v>
      </c>
      <c r="B56" s="119">
        <v>244</v>
      </c>
      <c r="C56" s="119">
        <v>345</v>
      </c>
      <c r="D56" s="5">
        <f t="shared" si="8"/>
        <v>0</v>
      </c>
      <c r="E56" s="2">
        <f>'иные субсидии 2022 год '!E160</f>
        <v>0</v>
      </c>
      <c r="F56" s="4"/>
    </row>
    <row r="57" spans="1:6" ht="75" x14ac:dyDescent="0.25">
      <c r="A57" s="115" t="s">
        <v>42</v>
      </c>
      <c r="B57" s="119">
        <v>244</v>
      </c>
      <c r="C57" s="119">
        <v>346</v>
      </c>
      <c r="D57" s="5">
        <f t="shared" si="8"/>
        <v>0</v>
      </c>
      <c r="E57" s="2">
        <f>'иные субсидии 2022 год '!E161</f>
        <v>0</v>
      </c>
      <c r="F57" s="4"/>
    </row>
    <row r="58" spans="1:6" ht="112.5" x14ac:dyDescent="0.25">
      <c r="A58" s="170" t="s">
        <v>347</v>
      </c>
      <c r="B58" s="171">
        <v>244</v>
      </c>
      <c r="C58" s="171">
        <v>347</v>
      </c>
      <c r="D58" s="5">
        <f>E58+F58</f>
        <v>0</v>
      </c>
      <c r="E58" s="2">
        <f>'иные субсидии 2022 год '!E162</f>
        <v>0</v>
      </c>
      <c r="F58" s="4"/>
    </row>
    <row r="59" spans="1:6" ht="112.5" x14ac:dyDescent="0.25">
      <c r="A59" s="115" t="s">
        <v>43</v>
      </c>
      <c r="B59" s="119">
        <v>244</v>
      </c>
      <c r="C59" s="119">
        <v>349</v>
      </c>
      <c r="D59" s="5">
        <f t="shared" si="8"/>
        <v>0</v>
      </c>
      <c r="E59" s="2">
        <f>'иные субсидии 2022 год '!E163</f>
        <v>0</v>
      </c>
      <c r="F59" s="4"/>
    </row>
    <row r="60" spans="1:6" ht="32.450000000000003" customHeight="1" x14ac:dyDescent="0.25">
      <c r="A60" s="233" t="s">
        <v>202</v>
      </c>
      <c r="B60" s="234"/>
      <c r="C60" s="234"/>
      <c r="D60" s="234"/>
      <c r="E60" s="234"/>
      <c r="F60" s="235"/>
    </row>
    <row r="61" spans="1:6" ht="18.75" x14ac:dyDescent="0.25">
      <c r="A61" s="115" t="s">
        <v>8</v>
      </c>
      <c r="B61" s="119" t="s">
        <v>5</v>
      </c>
      <c r="C61" s="119">
        <v>200</v>
      </c>
      <c r="D61" s="5">
        <f t="shared" ref="D61" si="9">E61+F61</f>
        <v>0</v>
      </c>
      <c r="E61" s="2">
        <f>E63+E66+E87</f>
        <v>0</v>
      </c>
      <c r="F61" s="4">
        <f>F63+F66+F87</f>
        <v>0</v>
      </c>
    </row>
    <row r="62" spans="1:6" ht="18.75" x14ac:dyDescent="0.25">
      <c r="A62" s="115" t="s">
        <v>9</v>
      </c>
      <c r="B62" s="119"/>
      <c r="C62" s="119"/>
      <c r="D62" s="5"/>
      <c r="E62" s="2"/>
      <c r="F62" s="4"/>
    </row>
    <row r="63" spans="1:6" ht="75" x14ac:dyDescent="0.25">
      <c r="A63" s="115" t="s">
        <v>10</v>
      </c>
      <c r="B63" s="119" t="s">
        <v>5</v>
      </c>
      <c r="C63" s="119">
        <v>210</v>
      </c>
      <c r="D63" s="5">
        <f t="shared" ref="D63" si="10">E63+F63</f>
        <v>0</v>
      </c>
      <c r="E63" s="2">
        <f>E65</f>
        <v>0</v>
      </c>
      <c r="F63" s="4">
        <f>F65</f>
        <v>0</v>
      </c>
    </row>
    <row r="64" spans="1:6" ht="18.75" x14ac:dyDescent="0.25">
      <c r="A64" s="115" t="s">
        <v>9</v>
      </c>
      <c r="B64" s="119"/>
      <c r="C64" s="119"/>
      <c r="D64" s="5"/>
      <c r="E64" s="2"/>
      <c r="F64" s="4"/>
    </row>
    <row r="65" spans="1:6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'иные субсидии 2022 год '!E169</f>
        <v>0</v>
      </c>
      <c r="F65" s="4"/>
    </row>
    <row r="66" spans="1:6" ht="37.5" x14ac:dyDescent="0.25">
      <c r="A66" s="115" t="s">
        <v>14</v>
      </c>
      <c r="B66" s="119" t="s">
        <v>5</v>
      </c>
      <c r="C66" s="119">
        <v>220</v>
      </c>
      <c r="D66" s="5">
        <f t="shared" ref="D66" si="11">E66+F66</f>
        <v>0</v>
      </c>
      <c r="E66" s="2">
        <f>E68+E69+E70+E78+E79+E82+E85+E86</f>
        <v>0</v>
      </c>
      <c r="F66" s="4">
        <f>F68+F69+F70+F78+F79+F82+F85</f>
        <v>0</v>
      </c>
    </row>
    <row r="67" spans="1:6" ht="18.75" x14ac:dyDescent="0.25">
      <c r="A67" s="115" t="s">
        <v>9</v>
      </c>
      <c r="B67" s="119"/>
      <c r="C67" s="119"/>
      <c r="D67" s="5"/>
      <c r="E67" s="2"/>
      <c r="F67" s="4"/>
    </row>
    <row r="68" spans="1:6" ht="18.75" x14ac:dyDescent="0.25">
      <c r="A68" s="115" t="s">
        <v>15</v>
      </c>
      <c r="B68" s="119">
        <v>244</v>
      </c>
      <c r="C68" s="119">
        <v>221</v>
      </c>
      <c r="D68" s="5">
        <f t="shared" ref="D68:D70" si="12">E68+F68</f>
        <v>0</v>
      </c>
      <c r="E68" s="2">
        <f>'иные субсидии 2022 год '!E172</f>
        <v>0</v>
      </c>
      <c r="F68" s="4"/>
    </row>
    <row r="69" spans="1:6" ht="51" customHeight="1" x14ac:dyDescent="0.25">
      <c r="A69" s="115" t="s">
        <v>16</v>
      </c>
      <c r="B69" s="119">
        <v>244</v>
      </c>
      <c r="C69" s="119">
        <v>222</v>
      </c>
      <c r="D69" s="5">
        <f t="shared" si="12"/>
        <v>0</v>
      </c>
      <c r="E69" s="2">
        <f>'иные субсидии 2022 год '!E173</f>
        <v>0</v>
      </c>
      <c r="F69" s="4"/>
    </row>
    <row r="70" spans="1:6" ht="37.5" x14ac:dyDescent="0.25">
      <c r="A70" s="115" t="s">
        <v>17</v>
      </c>
      <c r="B70" s="119" t="s">
        <v>5</v>
      </c>
      <c r="C70" s="119">
        <v>223</v>
      </c>
      <c r="D70" s="5">
        <f t="shared" si="12"/>
        <v>0</v>
      </c>
      <c r="E70" s="2">
        <f t="shared" ref="E70:F70" si="13">E72+E73+E74+E75+E76</f>
        <v>0</v>
      </c>
      <c r="F70" s="4">
        <f t="shared" si="13"/>
        <v>0</v>
      </c>
    </row>
    <row r="71" spans="1:6" ht="18.75" x14ac:dyDescent="0.25">
      <c r="A71" s="115" t="s">
        <v>6</v>
      </c>
      <c r="B71" s="119"/>
      <c r="C71" s="119"/>
      <c r="D71" s="5"/>
      <c r="E71" s="2"/>
      <c r="F71" s="4"/>
    </row>
    <row r="72" spans="1:6" ht="68.45" customHeight="1" x14ac:dyDescent="0.25">
      <c r="A72" s="115" t="s">
        <v>18</v>
      </c>
      <c r="B72" s="119">
        <v>244</v>
      </c>
      <c r="C72" s="119">
        <v>223</v>
      </c>
      <c r="D72" s="5">
        <f t="shared" ref="D72:D78" si="14">E72+F72</f>
        <v>0</v>
      </c>
      <c r="E72" s="2">
        <f>'иные субсидии 2022 год '!E176</f>
        <v>0</v>
      </c>
      <c r="F72" s="4"/>
    </row>
    <row r="73" spans="1:6" ht="37.5" x14ac:dyDescent="0.25">
      <c r="A73" s="115" t="s">
        <v>19</v>
      </c>
      <c r="B73" s="119">
        <v>244</v>
      </c>
      <c r="C73" s="119">
        <v>223</v>
      </c>
      <c r="D73" s="5">
        <f t="shared" si="14"/>
        <v>0</v>
      </c>
      <c r="E73" s="2">
        <f>'иные субсидии 2022 год '!E177</f>
        <v>0</v>
      </c>
      <c r="F73" s="4"/>
    </row>
    <row r="74" spans="1:6" ht="75" x14ac:dyDescent="0.25">
      <c r="A74" s="115" t="s">
        <v>20</v>
      </c>
      <c r="B74" s="119">
        <v>244</v>
      </c>
      <c r="C74" s="119">
        <v>223</v>
      </c>
      <c r="D74" s="5">
        <f t="shared" si="14"/>
        <v>0</v>
      </c>
      <c r="E74" s="2">
        <f>'иные субсидии 2022 год '!E178</f>
        <v>0</v>
      </c>
      <c r="F74" s="4"/>
    </row>
    <row r="75" spans="1:6" ht="75" x14ac:dyDescent="0.25">
      <c r="A75" s="115" t="s">
        <v>21</v>
      </c>
      <c r="B75" s="119">
        <v>244</v>
      </c>
      <c r="C75" s="119">
        <v>223</v>
      </c>
      <c r="D75" s="5">
        <f t="shared" si="14"/>
        <v>0</v>
      </c>
      <c r="E75" s="2">
        <f>'иные субсидии 2022 год '!E179</f>
        <v>0</v>
      </c>
      <c r="F75" s="4"/>
    </row>
    <row r="76" spans="1:6" ht="56.25" x14ac:dyDescent="0.25">
      <c r="A76" s="115" t="s">
        <v>22</v>
      </c>
      <c r="B76" s="119">
        <v>244</v>
      </c>
      <c r="C76" s="119">
        <v>223</v>
      </c>
      <c r="D76" s="5">
        <f t="shared" si="14"/>
        <v>0</v>
      </c>
      <c r="E76" s="2">
        <f>'иные субсидии 2022 год '!E180</f>
        <v>0</v>
      </c>
      <c r="F76" s="4"/>
    </row>
    <row r="77" spans="1:6" ht="56.25" x14ac:dyDescent="0.25">
      <c r="A77" s="195" t="s">
        <v>446</v>
      </c>
      <c r="B77" s="196">
        <v>244</v>
      </c>
      <c r="C77" s="196">
        <v>223</v>
      </c>
      <c r="D77" s="5">
        <f t="shared" ref="D77" si="15">E77+F77</f>
        <v>0</v>
      </c>
      <c r="E77" s="2">
        <f>'иные субсидии 2022 год '!E181</f>
        <v>0</v>
      </c>
      <c r="F77" s="4"/>
    </row>
    <row r="78" spans="1:6" ht="168.75" x14ac:dyDescent="0.25">
      <c r="A78" s="115" t="s">
        <v>23</v>
      </c>
      <c r="B78" s="119">
        <v>244</v>
      </c>
      <c r="C78" s="119">
        <v>224</v>
      </c>
      <c r="D78" s="5">
        <f t="shared" si="14"/>
        <v>0</v>
      </c>
      <c r="E78" s="2">
        <f>'иные субсидии 2022 год '!E182</f>
        <v>0</v>
      </c>
      <c r="F78" s="4"/>
    </row>
    <row r="79" spans="1:6" ht="56.25" x14ac:dyDescent="0.25">
      <c r="A79" s="115" t="s">
        <v>24</v>
      </c>
      <c r="B79" s="119" t="s">
        <v>5</v>
      </c>
      <c r="C79" s="119">
        <v>225</v>
      </c>
      <c r="D79" s="2">
        <f t="shared" ref="D79" si="16">D80+D81</f>
        <v>0</v>
      </c>
      <c r="E79" s="2">
        <f>E80+E81</f>
        <v>0</v>
      </c>
      <c r="F79" s="4">
        <f t="shared" ref="F79" si="17">F80+F81</f>
        <v>0</v>
      </c>
    </row>
    <row r="80" spans="1:6" ht="18.75" x14ac:dyDescent="0.25">
      <c r="A80" s="216" t="s">
        <v>6</v>
      </c>
      <c r="B80" s="119">
        <v>243</v>
      </c>
      <c r="C80" s="119">
        <v>225</v>
      </c>
      <c r="D80" s="5">
        <f t="shared" ref="D80:D91" si="18">E80+F80</f>
        <v>0</v>
      </c>
      <c r="E80" s="2">
        <f>'иные субсидии 2022 год '!E184</f>
        <v>0</v>
      </c>
      <c r="F80" s="4"/>
    </row>
    <row r="81" spans="1:6" ht="18.75" x14ac:dyDescent="0.25">
      <c r="A81" s="216"/>
      <c r="B81" s="119">
        <v>244</v>
      </c>
      <c r="C81" s="119">
        <v>225</v>
      </c>
      <c r="D81" s="5">
        <f t="shared" si="18"/>
        <v>0</v>
      </c>
      <c r="E81" s="2">
        <f>'иные субсидии 2022 год '!E185</f>
        <v>0</v>
      </c>
      <c r="F81" s="4"/>
    </row>
    <row r="82" spans="1:6" ht="37.5" x14ac:dyDescent="0.25">
      <c r="A82" s="115" t="s">
        <v>58</v>
      </c>
      <c r="B82" s="119" t="s">
        <v>5</v>
      </c>
      <c r="C82" s="119">
        <v>226</v>
      </c>
      <c r="D82" s="5">
        <f t="shared" si="18"/>
        <v>0</v>
      </c>
      <c r="E82" s="2">
        <f>E83+E84</f>
        <v>0</v>
      </c>
      <c r="F82" s="4">
        <f>F83+F84</f>
        <v>0</v>
      </c>
    </row>
    <row r="83" spans="1:6" ht="18.75" x14ac:dyDescent="0.25">
      <c r="A83" s="216" t="s">
        <v>6</v>
      </c>
      <c r="B83" s="119">
        <v>243</v>
      </c>
      <c r="C83" s="119">
        <v>226</v>
      </c>
      <c r="D83" s="5">
        <f t="shared" si="18"/>
        <v>0</v>
      </c>
      <c r="E83" s="2">
        <f>'иные субсидии 2022 год '!E187</f>
        <v>0</v>
      </c>
      <c r="F83" s="4"/>
    </row>
    <row r="84" spans="1:6" ht="18.75" x14ac:dyDescent="0.25">
      <c r="A84" s="216"/>
      <c r="B84" s="119">
        <v>244</v>
      </c>
      <c r="C84" s="119">
        <v>226</v>
      </c>
      <c r="D84" s="5">
        <f t="shared" si="18"/>
        <v>0</v>
      </c>
      <c r="E84" s="2">
        <f>'иные субсидии 2022 год '!E188</f>
        <v>0</v>
      </c>
      <c r="F84" s="4"/>
    </row>
    <row r="85" spans="1:6" ht="18.75" x14ac:dyDescent="0.25">
      <c r="A85" s="115" t="s">
        <v>25</v>
      </c>
      <c r="B85" s="119">
        <v>244</v>
      </c>
      <c r="C85" s="119">
        <v>227</v>
      </c>
      <c r="D85" s="5">
        <f t="shared" si="18"/>
        <v>0</v>
      </c>
      <c r="E85" s="2">
        <f>'иные субсидии 2022 год '!E189</f>
        <v>0</v>
      </c>
      <c r="F85" s="4"/>
    </row>
    <row r="86" spans="1:6" ht="56.25" x14ac:dyDescent="0.25">
      <c r="A86" s="170" t="s">
        <v>346</v>
      </c>
      <c r="B86" s="171">
        <v>244</v>
      </c>
      <c r="C86" s="171">
        <v>228</v>
      </c>
      <c r="D86" s="5">
        <f t="shared" ref="D86" si="19">E86+F86</f>
        <v>0</v>
      </c>
      <c r="E86" s="2">
        <f>'иные субсидии 2022 год '!E190</f>
        <v>0</v>
      </c>
      <c r="F86" s="4"/>
    </row>
    <row r="87" spans="1:6" ht="18.75" x14ac:dyDescent="0.25">
      <c r="A87" s="115" t="s">
        <v>30</v>
      </c>
      <c r="B87" s="119" t="s">
        <v>5</v>
      </c>
      <c r="C87" s="119">
        <v>290</v>
      </c>
      <c r="D87" s="5">
        <f t="shared" si="18"/>
        <v>0</v>
      </c>
      <c r="E87" s="2">
        <f>E89+E90</f>
        <v>0</v>
      </c>
      <c r="F87" s="4">
        <f>F89+F90</f>
        <v>0</v>
      </c>
    </row>
    <row r="88" spans="1:6" ht="18.75" x14ac:dyDescent="0.25">
      <c r="A88" s="115" t="s">
        <v>9</v>
      </c>
      <c r="B88" s="119"/>
      <c r="C88" s="119"/>
      <c r="D88" s="5">
        <f t="shared" si="18"/>
        <v>0</v>
      </c>
      <c r="E88" s="2"/>
      <c r="F88" s="4"/>
    </row>
    <row r="89" spans="1:6" ht="76.900000000000006" customHeight="1" x14ac:dyDescent="0.25">
      <c r="A89" s="115" t="s">
        <v>34</v>
      </c>
      <c r="B89" s="119">
        <v>244</v>
      </c>
      <c r="C89" s="119">
        <v>296</v>
      </c>
      <c r="D89" s="5">
        <f t="shared" si="18"/>
        <v>0</v>
      </c>
      <c r="E89" s="2">
        <f>'иные субсидии 2022 год '!E193</f>
        <v>0</v>
      </c>
      <c r="F89" s="4"/>
    </row>
    <row r="90" spans="1:6" ht="70.150000000000006" customHeight="1" x14ac:dyDescent="0.25">
      <c r="A90" s="115" t="s">
        <v>35</v>
      </c>
      <c r="B90" s="119">
        <v>244</v>
      </c>
      <c r="C90" s="119">
        <v>297</v>
      </c>
      <c r="D90" s="5">
        <f t="shared" si="18"/>
        <v>0</v>
      </c>
      <c r="E90" s="2">
        <f>'иные субсидии 2022 год '!E194</f>
        <v>0</v>
      </c>
      <c r="F90" s="4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8"/>
        <v>0</v>
      </c>
      <c r="E91" s="2">
        <f>E93+E95+E94</f>
        <v>0</v>
      </c>
      <c r="F91" s="4">
        <f>F93+F95+F94</f>
        <v>0</v>
      </c>
    </row>
    <row r="92" spans="1:6" ht="18.75" x14ac:dyDescent="0.25">
      <c r="A92" s="115" t="s">
        <v>9</v>
      </c>
      <c r="B92" s="119"/>
      <c r="C92" s="119"/>
      <c r="D92" s="5"/>
      <c r="E92" s="2"/>
      <c r="F92" s="4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ref="D93:D95" si="20">E93+F93</f>
        <v>0</v>
      </c>
      <c r="E93" s="2">
        <f>'иные субсидии 2022 год '!E197</f>
        <v>0</v>
      </c>
      <c r="F93" s="4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20"/>
        <v>0</v>
      </c>
      <c r="E94" s="2">
        <f>'иные субсидии 2022 год '!E198</f>
        <v>0</v>
      </c>
      <c r="F94" s="4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20"/>
        <v>0</v>
      </c>
      <c r="E95" s="2">
        <f>E97+E98+E99+E100+E101+E102+E104</f>
        <v>0</v>
      </c>
      <c r="F95" s="4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"/>
      <c r="F96" s="4"/>
    </row>
    <row r="97" spans="1:6" ht="147" customHeight="1" x14ac:dyDescent="0.25">
      <c r="A97" s="115" t="s">
        <v>37</v>
      </c>
      <c r="B97" s="119">
        <v>244</v>
      </c>
      <c r="C97" s="119">
        <v>341</v>
      </c>
      <c r="D97" s="5">
        <f t="shared" ref="D97:D104" si="21">E97+F97</f>
        <v>0</v>
      </c>
      <c r="E97" s="2">
        <f>'иные субсидии 2022 год '!E201</f>
        <v>0</v>
      </c>
      <c r="F97" s="4"/>
    </row>
    <row r="98" spans="1:6" ht="65.45" customHeight="1" x14ac:dyDescent="0.25">
      <c r="A98" s="115" t="s">
        <v>38</v>
      </c>
      <c r="B98" s="119">
        <v>244</v>
      </c>
      <c r="C98" s="119">
        <v>342</v>
      </c>
      <c r="D98" s="5">
        <f t="shared" si="21"/>
        <v>0</v>
      </c>
      <c r="E98" s="2">
        <f>'иные субсидии 2022 год '!E202</f>
        <v>0</v>
      </c>
      <c r="F98" s="4"/>
    </row>
    <row r="99" spans="1:6" ht="87" customHeight="1" x14ac:dyDescent="0.25">
      <c r="A99" s="115" t="s">
        <v>39</v>
      </c>
      <c r="B99" s="119">
        <v>244</v>
      </c>
      <c r="C99" s="119">
        <v>343</v>
      </c>
      <c r="D99" s="5">
        <f t="shared" si="21"/>
        <v>0</v>
      </c>
      <c r="E99" s="2">
        <f>'иные субсидии 2022 год '!E203</f>
        <v>0</v>
      </c>
      <c r="F99" s="4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21"/>
        <v>0</v>
      </c>
      <c r="E100" s="2">
        <f>'иные субсидии 2022 год '!E204</f>
        <v>0</v>
      </c>
      <c r="F100" s="4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21"/>
        <v>0</v>
      </c>
      <c r="E101" s="2">
        <f>'иные субсидии 2022 год '!E205</f>
        <v>0</v>
      </c>
      <c r="F101" s="4"/>
    </row>
    <row r="102" spans="1:6" ht="88.15" customHeight="1" x14ac:dyDescent="0.25">
      <c r="A102" s="115" t="s">
        <v>42</v>
      </c>
      <c r="B102" s="119">
        <v>244</v>
      </c>
      <c r="C102" s="119">
        <v>346</v>
      </c>
      <c r="D102" s="5">
        <f t="shared" si="21"/>
        <v>0</v>
      </c>
      <c r="E102" s="2">
        <f>'иные субсидии 2022 год '!E206</f>
        <v>0</v>
      </c>
      <c r="F102" s="4"/>
    </row>
    <row r="103" spans="1:6" ht="112.5" x14ac:dyDescent="0.25">
      <c r="A103" s="173" t="s">
        <v>347</v>
      </c>
      <c r="B103" s="172">
        <v>244</v>
      </c>
      <c r="C103" s="172">
        <v>347</v>
      </c>
      <c r="D103" s="5">
        <f>E103+F103</f>
        <v>0</v>
      </c>
      <c r="E103" s="2">
        <f>'иные субсидии 2022 год '!E207</f>
        <v>0</v>
      </c>
      <c r="F103" s="4"/>
    </row>
    <row r="104" spans="1:6" ht="113.25" thickBot="1" x14ac:dyDescent="0.3">
      <c r="A104" s="32" t="s">
        <v>43</v>
      </c>
      <c r="B104" s="33">
        <v>244</v>
      </c>
      <c r="C104" s="33">
        <v>349</v>
      </c>
      <c r="D104" s="34">
        <f t="shared" si="21"/>
        <v>0</v>
      </c>
      <c r="E104" s="35">
        <f>'иные субсидии 2022 год '!E208</f>
        <v>0</v>
      </c>
      <c r="F104" s="100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19"/>
      <c r="C107" s="219"/>
      <c r="D107" s="10"/>
      <c r="E107" s="219" t="s">
        <v>465</v>
      </c>
      <c r="F107" s="219"/>
    </row>
    <row r="108" spans="1:6" ht="18.75" x14ac:dyDescent="0.3">
      <c r="A108" s="29"/>
      <c r="B108" s="218" t="s">
        <v>53</v>
      </c>
      <c r="C108" s="218"/>
      <c r="D108" s="10"/>
      <c r="E108" s="218" t="s">
        <v>54</v>
      </c>
      <c r="F108" s="218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19"/>
      <c r="C110" s="219"/>
      <c r="D110" s="10"/>
      <c r="E110" s="219" t="s">
        <v>341</v>
      </c>
      <c r="F110" s="219"/>
    </row>
    <row r="111" spans="1:6" ht="18.75" x14ac:dyDescent="0.3">
      <c r="A111" s="29"/>
      <c r="B111" s="218" t="s">
        <v>53</v>
      </c>
      <c r="C111" s="218"/>
      <c r="D111" s="10"/>
      <c r="E111" s="218" t="s">
        <v>54</v>
      </c>
      <c r="F111" s="218"/>
    </row>
    <row r="112" spans="1:6" ht="18.75" x14ac:dyDescent="0.3">
      <c r="A112" s="29"/>
      <c r="B112" s="116"/>
      <c r="C112" s="116"/>
      <c r="D112" s="10"/>
      <c r="E112" s="116"/>
      <c r="F112" s="116"/>
    </row>
    <row r="113" spans="1:6" ht="18.75" x14ac:dyDescent="0.3">
      <c r="A113" s="29" t="s">
        <v>56</v>
      </c>
      <c r="B113" s="219"/>
      <c r="C113" s="219"/>
      <c r="D113" s="10"/>
      <c r="E113" s="219" t="s">
        <v>341</v>
      </c>
      <c r="F113" s="219"/>
    </row>
    <row r="114" spans="1:6" ht="18.75" x14ac:dyDescent="0.3">
      <c r="A114" s="29"/>
      <c r="B114" s="218" t="s">
        <v>53</v>
      </c>
      <c r="C114" s="218"/>
      <c r="D114" s="10"/>
      <c r="E114" s="218" t="s">
        <v>54</v>
      </c>
      <c r="F114" s="218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17" t="s">
        <v>44</v>
      </c>
      <c r="B116" s="217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72" firstPageNumber="12" orientation="portrait" useFirstPageNumber="1" r:id="rId1"/>
  <rowBreaks count="1" manualBreakCount="1"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6"/>
  <sheetViews>
    <sheetView view="pageBreakPreview" zoomScaleNormal="100" zoomScaleSheetLayoutView="100" workbookViewId="0">
      <selection activeCell="F43" sqref="F43:G43"/>
    </sheetView>
  </sheetViews>
  <sheetFormatPr defaultColWidth="8.85546875" defaultRowHeight="15" x14ac:dyDescent="0.25"/>
  <cols>
    <col min="1" max="1" width="23.5703125" style="7" customWidth="1"/>
    <col min="2" max="2" width="15.28515625" style="7" customWidth="1"/>
    <col min="3" max="7" width="16.42578125" style="7" customWidth="1"/>
    <col min="8" max="16384" width="8.85546875" style="7"/>
  </cols>
  <sheetData>
    <row r="1" spans="1:7" ht="18.75" x14ac:dyDescent="0.25">
      <c r="A1" s="6"/>
      <c r="E1" s="312"/>
      <c r="F1" s="312"/>
      <c r="G1" s="312"/>
    </row>
    <row r="2" spans="1:7" ht="40.15" customHeight="1" x14ac:dyDescent="0.25">
      <c r="A2" s="284" t="s">
        <v>449</v>
      </c>
      <c r="B2" s="284"/>
      <c r="C2" s="284"/>
      <c r="D2" s="284"/>
      <c r="E2" s="284"/>
      <c r="F2" s="284"/>
      <c r="G2" s="284"/>
    </row>
    <row r="3" spans="1:7" ht="18.75" x14ac:dyDescent="0.25">
      <c r="A3" s="108"/>
      <c r="B3" s="108"/>
      <c r="C3" s="108"/>
      <c r="D3" s="108"/>
      <c r="E3" s="108"/>
      <c r="F3" s="108"/>
      <c r="G3" s="108"/>
    </row>
    <row r="4" spans="1:7" ht="35.450000000000003" customHeight="1" x14ac:dyDescent="0.25">
      <c r="A4" s="284" t="s">
        <v>450</v>
      </c>
      <c r="B4" s="284"/>
      <c r="C4" s="284"/>
      <c r="D4" s="284"/>
      <c r="E4" s="284"/>
      <c r="F4" s="284"/>
      <c r="G4" s="284"/>
    </row>
    <row r="5" spans="1:7" ht="18.75" x14ac:dyDescent="0.25">
      <c r="A5" s="105"/>
    </row>
    <row r="6" spans="1:7" ht="18.75" x14ac:dyDescent="0.25">
      <c r="A6" s="284" t="s">
        <v>187</v>
      </c>
      <c r="B6" s="284"/>
      <c r="C6" s="284"/>
      <c r="D6" s="284"/>
      <c r="E6" s="284"/>
      <c r="F6" s="284"/>
      <c r="G6" s="284"/>
    </row>
    <row r="7" spans="1:7" ht="18.75" x14ac:dyDescent="0.25">
      <c r="A7" s="105"/>
    </row>
    <row r="8" spans="1:7" ht="18.75" x14ac:dyDescent="0.3">
      <c r="A8" s="9" t="s">
        <v>255</v>
      </c>
      <c r="B8" s="10">
        <v>150</v>
      </c>
    </row>
    <row r="9" spans="1:7" x14ac:dyDescent="0.25">
      <c r="A9" s="11"/>
    </row>
    <row r="10" spans="1:7" ht="58.9" customHeight="1" x14ac:dyDescent="0.25">
      <c r="A10" s="106" t="s">
        <v>86</v>
      </c>
      <c r="B10" s="270" t="s">
        <v>172</v>
      </c>
      <c r="C10" s="270"/>
      <c r="D10" s="270" t="s">
        <v>173</v>
      </c>
      <c r="E10" s="270"/>
      <c r="F10" s="250" t="s">
        <v>171</v>
      </c>
      <c r="G10" s="251"/>
    </row>
    <row r="11" spans="1:7" ht="18.75" x14ac:dyDescent="0.25">
      <c r="A11" s="106">
        <v>1</v>
      </c>
      <c r="B11" s="270">
        <v>2</v>
      </c>
      <c r="C11" s="270"/>
      <c r="D11" s="270">
        <v>3</v>
      </c>
      <c r="E11" s="270"/>
      <c r="F11" s="270">
        <v>4</v>
      </c>
      <c r="G11" s="270"/>
    </row>
    <row r="12" spans="1:7" ht="18.75" x14ac:dyDescent="0.25">
      <c r="A12" s="13" t="s">
        <v>184</v>
      </c>
      <c r="B12" s="270" t="s">
        <v>117</v>
      </c>
      <c r="C12" s="270"/>
      <c r="D12" s="270" t="s">
        <v>117</v>
      </c>
      <c r="E12" s="270"/>
      <c r="F12" s="273">
        <f>'иные субсидии 2022 год '!E12</f>
        <v>0</v>
      </c>
      <c r="G12" s="273"/>
    </row>
    <row r="13" spans="1:7" ht="18.75" x14ac:dyDescent="0.25">
      <c r="A13" s="105"/>
    </row>
    <row r="14" spans="1:7" ht="18.75" x14ac:dyDescent="0.25">
      <c r="A14" s="15"/>
      <c r="B14" s="19"/>
      <c r="C14" s="19"/>
      <c r="D14" s="19"/>
      <c r="E14" s="19"/>
      <c r="F14" s="19"/>
      <c r="G14" s="19"/>
    </row>
    <row r="15" spans="1:7" ht="48.6" customHeight="1" x14ac:dyDescent="0.25">
      <c r="A15" s="284" t="s">
        <v>451</v>
      </c>
      <c r="B15" s="284"/>
      <c r="C15" s="284"/>
      <c r="D15" s="284"/>
      <c r="E15" s="284"/>
      <c r="F15" s="284"/>
      <c r="G15" s="284"/>
    </row>
    <row r="16" spans="1:7" ht="18.75" x14ac:dyDescent="0.25">
      <c r="A16" s="8"/>
    </row>
    <row r="17" spans="1:7" ht="18.75" x14ac:dyDescent="0.25">
      <c r="A17" s="29"/>
    </row>
    <row r="18" spans="1:7" ht="18.75" x14ac:dyDescent="0.25">
      <c r="A18" s="269" t="s">
        <v>221</v>
      </c>
      <c r="B18" s="269"/>
      <c r="C18" s="269"/>
      <c r="D18" s="269"/>
      <c r="E18" s="269"/>
      <c r="F18" s="269"/>
      <c r="G18" s="269"/>
    </row>
    <row r="19" spans="1:7" ht="18.75" x14ac:dyDescent="0.25">
      <c r="A19" s="9"/>
    </row>
    <row r="20" spans="1:7" ht="18.75" x14ac:dyDescent="0.3">
      <c r="A20" s="9" t="s">
        <v>145</v>
      </c>
      <c r="B20" s="10">
        <v>244</v>
      </c>
    </row>
    <row r="21" spans="1:7" ht="18.75" x14ac:dyDescent="0.25">
      <c r="A21" s="8"/>
    </row>
    <row r="22" spans="1:7" ht="30" customHeight="1" x14ac:dyDescent="0.25">
      <c r="A22" s="270" t="s">
        <v>86</v>
      </c>
      <c r="B22" s="270"/>
      <c r="C22" s="270"/>
      <c r="D22" s="270" t="s">
        <v>137</v>
      </c>
      <c r="E22" s="270"/>
      <c r="F22" s="270" t="s">
        <v>138</v>
      </c>
      <c r="G22" s="270"/>
    </row>
    <row r="23" spans="1:7" ht="18.75" x14ac:dyDescent="0.3">
      <c r="A23" s="250">
        <v>1</v>
      </c>
      <c r="B23" s="277"/>
      <c r="C23" s="251"/>
      <c r="D23" s="258">
        <v>2</v>
      </c>
      <c r="E23" s="259"/>
      <c r="F23" s="258">
        <v>3</v>
      </c>
      <c r="G23" s="259"/>
    </row>
    <row r="24" spans="1:7" ht="37.5" customHeight="1" x14ac:dyDescent="0.25">
      <c r="A24" s="248" t="s">
        <v>452</v>
      </c>
      <c r="B24" s="260"/>
      <c r="C24" s="249"/>
      <c r="D24" s="310" t="s">
        <v>453</v>
      </c>
      <c r="E24" s="311"/>
      <c r="F24" s="294">
        <v>300000</v>
      </c>
      <c r="G24" s="295"/>
    </row>
    <row r="25" spans="1:7" ht="78" customHeight="1" x14ac:dyDescent="0.25">
      <c r="A25" s="248" t="s">
        <v>454</v>
      </c>
      <c r="B25" s="260"/>
      <c r="C25" s="249"/>
      <c r="D25" s="310" t="s">
        <v>453</v>
      </c>
      <c r="E25" s="311"/>
      <c r="F25" s="294">
        <v>250000</v>
      </c>
      <c r="G25" s="295"/>
    </row>
    <row r="26" spans="1:7" ht="18.75" x14ac:dyDescent="0.25">
      <c r="A26" s="248" t="s">
        <v>146</v>
      </c>
      <c r="B26" s="260"/>
      <c r="C26" s="249"/>
      <c r="D26" s="274"/>
      <c r="E26" s="275"/>
      <c r="F26" s="294">
        <f>'иные субсидии 2022 год '!D54</f>
        <v>0</v>
      </c>
      <c r="G26" s="295"/>
    </row>
    <row r="27" spans="1:7" ht="18.75" x14ac:dyDescent="0.25">
      <c r="A27" s="8"/>
    </row>
    <row r="28" spans="1:7" ht="18.75" x14ac:dyDescent="0.25">
      <c r="A28" s="269" t="s">
        <v>224</v>
      </c>
      <c r="B28" s="269"/>
      <c r="C28" s="269"/>
      <c r="D28" s="269"/>
      <c r="E28" s="269"/>
      <c r="F28" s="269"/>
      <c r="G28" s="269"/>
    </row>
    <row r="29" spans="1:7" ht="18.75" x14ac:dyDescent="0.25">
      <c r="A29" s="9"/>
    </row>
    <row r="30" spans="1:7" ht="18.75" x14ac:dyDescent="0.3">
      <c r="A30" s="9" t="s">
        <v>145</v>
      </c>
      <c r="B30" s="10">
        <v>244</v>
      </c>
    </row>
    <row r="31" spans="1:7" ht="18.75" x14ac:dyDescent="0.25">
      <c r="A31" s="8"/>
    </row>
    <row r="32" spans="1:7" ht="54.6" customHeight="1" x14ac:dyDescent="0.25">
      <c r="A32" s="179" t="s">
        <v>86</v>
      </c>
      <c r="B32" s="270" t="s">
        <v>142</v>
      </c>
      <c r="C32" s="270"/>
      <c r="D32" s="270" t="s">
        <v>143</v>
      </c>
      <c r="E32" s="270"/>
      <c r="F32" s="270" t="s">
        <v>150</v>
      </c>
      <c r="G32" s="270"/>
    </row>
    <row r="33" spans="1:7" ht="18.75" x14ac:dyDescent="0.25">
      <c r="A33" s="179">
        <v>1</v>
      </c>
      <c r="B33" s="250">
        <v>2</v>
      </c>
      <c r="C33" s="251"/>
      <c r="D33" s="250">
        <v>3</v>
      </c>
      <c r="E33" s="251"/>
      <c r="F33" s="250">
        <v>4</v>
      </c>
      <c r="G33" s="251"/>
    </row>
    <row r="34" spans="1:7" ht="37.5" x14ac:dyDescent="0.25">
      <c r="A34" s="13" t="s">
        <v>144</v>
      </c>
      <c r="B34" s="250"/>
      <c r="C34" s="251"/>
      <c r="D34" s="250"/>
      <c r="E34" s="251"/>
      <c r="F34" s="244">
        <f>'иные субсидии 2022 год '!E86</f>
        <v>0</v>
      </c>
      <c r="G34" s="245"/>
    </row>
    <row r="35" spans="1:7" ht="18.75" x14ac:dyDescent="0.25">
      <c r="A35" s="13" t="s">
        <v>146</v>
      </c>
      <c r="B35" s="250"/>
      <c r="C35" s="251"/>
      <c r="D35" s="250"/>
      <c r="E35" s="251"/>
      <c r="F35" s="244">
        <f>F34</f>
        <v>0</v>
      </c>
      <c r="G35" s="245"/>
    </row>
    <row r="36" spans="1:7" ht="18.75" x14ac:dyDescent="0.25">
      <c r="A36" s="29"/>
    </row>
    <row r="37" spans="1:7" ht="37.5" x14ac:dyDescent="0.3">
      <c r="A37" s="29" t="s">
        <v>151</v>
      </c>
      <c r="B37" s="10"/>
      <c r="C37" s="219"/>
      <c r="D37" s="219"/>
      <c r="E37" s="10"/>
      <c r="F37" s="219" t="s">
        <v>465</v>
      </c>
      <c r="G37" s="219"/>
    </row>
    <row r="38" spans="1:7" ht="18.75" x14ac:dyDescent="0.3">
      <c r="A38" s="29"/>
      <c r="B38" s="10"/>
      <c r="C38" s="218" t="s">
        <v>53</v>
      </c>
      <c r="D38" s="218"/>
      <c r="E38" s="10"/>
      <c r="F38" s="218" t="s">
        <v>54</v>
      </c>
      <c r="G38" s="218"/>
    </row>
    <row r="39" spans="1:7" ht="18.75" x14ac:dyDescent="0.3">
      <c r="A39" s="29"/>
      <c r="B39" s="10"/>
      <c r="C39" s="104"/>
      <c r="D39" s="104"/>
      <c r="E39" s="10"/>
      <c r="F39" s="104"/>
      <c r="G39" s="104"/>
    </row>
    <row r="40" spans="1:7" ht="56.25" x14ac:dyDescent="0.3">
      <c r="A40" s="29" t="s">
        <v>152</v>
      </c>
      <c r="B40" s="10"/>
      <c r="C40" s="219"/>
      <c r="D40" s="219"/>
      <c r="E40" s="10"/>
      <c r="F40" s="219" t="s">
        <v>341</v>
      </c>
      <c r="G40" s="219"/>
    </row>
    <row r="41" spans="1:7" ht="18.75" x14ac:dyDescent="0.3">
      <c r="A41" s="29"/>
      <c r="B41" s="10"/>
      <c r="C41" s="218" t="s">
        <v>53</v>
      </c>
      <c r="D41" s="218"/>
      <c r="E41" s="10"/>
      <c r="F41" s="218" t="s">
        <v>54</v>
      </c>
      <c r="G41" s="218"/>
    </row>
    <row r="42" spans="1:7" ht="18.75" x14ac:dyDescent="0.3">
      <c r="A42" s="29"/>
      <c r="B42" s="10"/>
      <c r="C42" s="104"/>
      <c r="D42" s="104"/>
      <c r="E42" s="10"/>
      <c r="F42" s="104"/>
      <c r="G42" s="104"/>
    </row>
    <row r="43" spans="1:7" ht="18.75" x14ac:dyDescent="0.3">
      <c r="A43" s="29" t="s">
        <v>153</v>
      </c>
      <c r="B43" s="10"/>
      <c r="C43" s="219"/>
      <c r="D43" s="219"/>
      <c r="E43" s="10"/>
      <c r="F43" s="219" t="s">
        <v>341</v>
      </c>
      <c r="G43" s="219"/>
    </row>
    <row r="44" spans="1:7" ht="18.75" x14ac:dyDescent="0.3">
      <c r="A44" s="29"/>
      <c r="B44" s="10"/>
      <c r="C44" s="218" t="s">
        <v>53</v>
      </c>
      <c r="D44" s="218"/>
      <c r="E44" s="10"/>
      <c r="F44" s="218" t="s">
        <v>54</v>
      </c>
      <c r="G44" s="218"/>
    </row>
    <row r="45" spans="1:7" ht="18.75" x14ac:dyDescent="0.3">
      <c r="A45" s="29" t="s">
        <v>154</v>
      </c>
      <c r="B45" s="10"/>
      <c r="C45" s="10"/>
      <c r="D45" s="10"/>
      <c r="E45" s="10"/>
      <c r="F45" s="10"/>
      <c r="G45" s="10"/>
    </row>
    <row r="46" spans="1:7" ht="18.75" x14ac:dyDescent="0.3">
      <c r="A46" s="217" t="s">
        <v>44</v>
      </c>
      <c r="B46" s="217"/>
      <c r="C46" s="10"/>
      <c r="D46" s="10"/>
      <c r="E46" s="10"/>
      <c r="F46" s="10"/>
      <c r="G46" s="10"/>
    </row>
  </sheetData>
  <mergeCells count="56">
    <mergeCell ref="B34:C34"/>
    <mergeCell ref="D34:E34"/>
    <mergeCell ref="F34:G34"/>
    <mergeCell ref="B35:C35"/>
    <mergeCell ref="D35:E35"/>
    <mergeCell ref="F35:G35"/>
    <mergeCell ref="A28:G28"/>
    <mergeCell ref="B32:C32"/>
    <mergeCell ref="D32:E32"/>
    <mergeCell ref="F32:G32"/>
    <mergeCell ref="B33:C33"/>
    <mergeCell ref="D33:E33"/>
    <mergeCell ref="F33:G33"/>
    <mergeCell ref="A6:G6"/>
    <mergeCell ref="B10:C10"/>
    <mergeCell ref="D10:E10"/>
    <mergeCell ref="F10:G10"/>
    <mergeCell ref="E1:G1"/>
    <mergeCell ref="A2:G2"/>
    <mergeCell ref="A4:G4"/>
    <mergeCell ref="A18:G18"/>
    <mergeCell ref="A15:G15"/>
    <mergeCell ref="B11:C11"/>
    <mergeCell ref="D11:E11"/>
    <mergeCell ref="F11:G11"/>
    <mergeCell ref="B12:C12"/>
    <mergeCell ref="D12:E12"/>
    <mergeCell ref="F12:G12"/>
    <mergeCell ref="A22:C22"/>
    <mergeCell ref="D22:E22"/>
    <mergeCell ref="F22:G22"/>
    <mergeCell ref="A23:C23"/>
    <mergeCell ref="D23:E23"/>
    <mergeCell ref="F23:G23"/>
    <mergeCell ref="A26:C26"/>
    <mergeCell ref="D26:E26"/>
    <mergeCell ref="F26:G26"/>
    <mergeCell ref="A24:C24"/>
    <mergeCell ref="D24:E24"/>
    <mergeCell ref="F24:G24"/>
    <mergeCell ref="A25:C25"/>
    <mergeCell ref="D25:E25"/>
    <mergeCell ref="F25:G25"/>
    <mergeCell ref="C37:D37"/>
    <mergeCell ref="F37:G37"/>
    <mergeCell ref="C38:D38"/>
    <mergeCell ref="F38:G38"/>
    <mergeCell ref="C40:D40"/>
    <mergeCell ref="F40:G40"/>
    <mergeCell ref="A46:B46"/>
    <mergeCell ref="C41:D41"/>
    <mergeCell ref="F41:G41"/>
    <mergeCell ref="C43:D43"/>
    <mergeCell ref="F43:G43"/>
    <mergeCell ref="C44:D44"/>
    <mergeCell ref="F44:G44"/>
  </mergeCells>
  <pageMargins left="1.3779527559055118" right="0.39370078740157483" top="0.98425196850393704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гос.зад на 2022 год </vt:lpstr>
      <vt:lpstr>Закупки гос.задание на 2022 год</vt:lpstr>
      <vt:lpstr>обоснования гос.зад 2022 </vt:lpstr>
      <vt:lpstr>платные на 2022 год </vt:lpstr>
      <vt:lpstr>Закупки платные на 2022 год</vt:lpstr>
      <vt:lpstr>обоснования плат 2022г.</vt:lpstr>
      <vt:lpstr>иные субсидии 2022 год </vt:lpstr>
      <vt:lpstr>Закупки иные на 2022 год </vt:lpstr>
      <vt:lpstr>обоснования иные 2022 </vt:lpstr>
      <vt:lpstr>гос.задание на 2023-2024 год </vt:lpstr>
      <vt:lpstr>Закупки гос.зад на 2023-2024</vt:lpstr>
      <vt:lpstr>обоснования гос.зад 2023г</vt:lpstr>
      <vt:lpstr>обоснования гос.зад 2024г</vt:lpstr>
      <vt:lpstr>платные на 2022-2023 год</vt:lpstr>
      <vt:lpstr>Закупки платные на 2022-2023</vt:lpstr>
      <vt:lpstr>обоснования плат 2022г</vt:lpstr>
      <vt:lpstr>обоснования плат 2023</vt:lpstr>
      <vt:lpstr>иные субсидии 2022-2023</vt:lpstr>
      <vt:lpstr>Закупки иные на 2022-2023</vt:lpstr>
      <vt:lpstr>ОБОСНОВАНИЯ</vt:lpstr>
      <vt:lpstr>'гос.зад на 2022 год '!Заголовки_для_печати</vt:lpstr>
      <vt:lpstr>'гос.задание на 2023-2024 год '!Заголовки_для_печати</vt:lpstr>
      <vt:lpstr>'Закупки гос.зад на 2023-2024'!Заголовки_для_печати</vt:lpstr>
      <vt:lpstr>'Закупки гос.задание на 2022 год'!Заголовки_для_печати</vt:lpstr>
      <vt:lpstr>'Закупки иные на 2022 год '!Заголовки_для_печати</vt:lpstr>
      <vt:lpstr>'Закупки иные на 2022-2023'!Заголовки_для_печати</vt:lpstr>
      <vt:lpstr>'Закупки платные на 2022 год'!Заголовки_для_печати</vt:lpstr>
      <vt:lpstr>'Закупки платные на 2022-2023'!Заголовки_для_печати</vt:lpstr>
      <vt:lpstr>'иные субсидии 2022 год '!Заголовки_для_печати</vt:lpstr>
      <vt:lpstr>'иные субсидии 2022-2023'!Заголовки_для_печати</vt:lpstr>
      <vt:lpstr>'платные на 2022 год '!Заголовки_для_печати</vt:lpstr>
      <vt:lpstr>'платные на 2022-2023 год'!Заголовки_для_печати</vt:lpstr>
      <vt:lpstr>'гос.зад на 2022 год '!Область_печати</vt:lpstr>
      <vt:lpstr>'гос.задание на 2023-2024 год '!Область_печати</vt:lpstr>
      <vt:lpstr>'иные субсидии 2022 год '!Область_печати</vt:lpstr>
      <vt:lpstr>'иные субсидии 2022-2023'!Область_печати</vt:lpstr>
      <vt:lpstr>'обоснования гос.зад 2022 '!Область_печати</vt:lpstr>
      <vt:lpstr>'обоснования гос.зад 2023г'!Область_печати</vt:lpstr>
      <vt:lpstr>'обоснования гос.зад 2024г'!Область_печати</vt:lpstr>
      <vt:lpstr>'обоснования иные 2022 '!Область_печати</vt:lpstr>
      <vt:lpstr>'обоснования плат 2022г'!Область_печати</vt:lpstr>
      <vt:lpstr>'обоснования плат 2022г.'!Область_печати</vt:lpstr>
      <vt:lpstr>'обоснования плат 2023'!Область_печати</vt:lpstr>
      <vt:lpstr>'платные на 2022 год '!Область_печати</vt:lpstr>
      <vt:lpstr>'платные на 2022-2023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</cp:lastModifiedBy>
  <cp:lastPrinted>2022-04-05T07:05:41Z</cp:lastPrinted>
  <dcterms:created xsi:type="dcterms:W3CDTF">2019-11-07T09:21:57Z</dcterms:created>
  <dcterms:modified xsi:type="dcterms:W3CDTF">2022-07-27T14:26:45Z</dcterms:modified>
</cp:coreProperties>
</file>