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'!$A$1:$F$123</definedName>
    <definedName name="_xlnm.Print_Area" localSheetId="9">'гос.задание на 2024-2025 год '!$A$1:$I$123</definedName>
    <definedName name="_xlnm.Print_Area" localSheetId="6">'иные субсидии 2023 год '!$A$1:$F$118</definedName>
    <definedName name="_xlnm.Print_Area" localSheetId="17">'иные субсидии 2024-2025'!$A$1:$I$120</definedName>
    <definedName name="_xlnm.Print_Area" localSheetId="2">'обоснования гос.зад 2023 '!$A$1:$G$349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'!$A$1:$G$34</definedName>
    <definedName name="_xlnm.Print_Area" localSheetId="5">'обоснования плат 2023г.'!$A$1:$G$151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'!$A$1:$F$127</definedName>
    <definedName name="_xlnm.Print_Area" localSheetId="13">'платные на 2024-2025 год'!$A$1:$I$124</definedName>
  </definedNames>
  <calcPr calcId="162913"/>
</workbook>
</file>

<file path=xl/calcChain.xml><?xml version="1.0" encoding="utf-8"?>
<calcChain xmlns="http://schemas.openxmlformats.org/spreadsheetml/2006/main">
  <c r="D116" i="15" l="1"/>
  <c r="I130" i="11"/>
  <c r="E99" i="11"/>
  <c r="E13" i="11"/>
  <c r="E75" i="9" l="1"/>
  <c r="E96" i="9"/>
  <c r="E60" i="9"/>
  <c r="E91" i="10" l="1"/>
  <c r="E14" i="10"/>
  <c r="E103" i="9" l="1"/>
  <c r="E10" i="9"/>
  <c r="F23" i="29" l="1"/>
  <c r="E108" i="11"/>
  <c r="E149" i="5"/>
  <c r="E142" i="5"/>
  <c r="E141" i="5"/>
  <c r="E68" i="9"/>
  <c r="E26" i="9"/>
  <c r="H53" i="5" l="1"/>
  <c r="E53" i="5"/>
  <c r="E49" i="10"/>
  <c r="E58" i="11"/>
  <c r="E53" i="9"/>
  <c r="E52" i="9"/>
  <c r="D52" i="9"/>
  <c r="E152" i="5" l="1"/>
  <c r="E198" i="9"/>
  <c r="G63" i="6" l="1"/>
  <c r="D63" i="6"/>
  <c r="G42" i="17"/>
  <c r="D42" i="17"/>
  <c r="D62" i="5"/>
  <c r="G62" i="5"/>
  <c r="D42" i="13"/>
  <c r="D58" i="10"/>
  <c r="E67" i="10"/>
  <c r="D67" i="10" s="1"/>
  <c r="F67" i="10"/>
  <c r="D42" i="30"/>
  <c r="D67" i="11"/>
  <c r="D42" i="1"/>
  <c r="D62" i="9"/>
  <c r="E136" i="5" l="1"/>
  <c r="D137" i="15"/>
  <c r="E110" i="11"/>
  <c r="E95" i="11"/>
  <c r="E80" i="11"/>
  <c r="E63" i="11"/>
  <c r="E57" i="11"/>
  <c r="E33" i="11"/>
  <c r="E31" i="11"/>
  <c r="E14" i="11"/>
  <c r="F217" i="28"/>
  <c r="F218" i="28"/>
  <c r="E38" i="9"/>
  <c r="E154" i="9"/>
  <c r="E151" i="9"/>
  <c r="E136" i="9"/>
  <c r="E58" i="9"/>
  <c r="E48" i="9"/>
  <c r="E54" i="9"/>
  <c r="E8" i="9"/>
  <c r="F262" i="33" l="1"/>
  <c r="F309" i="33"/>
  <c r="F296" i="33"/>
  <c r="F292" i="33"/>
  <c r="F288" i="33"/>
  <c r="F286" i="33"/>
  <c r="F284" i="33"/>
  <c r="F282" i="33"/>
  <c r="F280" i="33"/>
  <c r="F261" i="33"/>
  <c r="F245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68" i="33"/>
  <c r="F167" i="33"/>
  <c r="F164" i="33"/>
  <c r="F163" i="33"/>
  <c r="D119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5" i="5"/>
  <c r="E75" i="5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9" i="9"/>
  <c r="E144" i="9"/>
  <c r="E14" i="9"/>
  <c r="E106" i="9"/>
  <c r="E104" i="9"/>
  <c r="E102" i="9"/>
  <c r="E101" i="9"/>
  <c r="E76" i="9"/>
  <c r="E47" i="9"/>
  <c r="E46" i="9"/>
  <c r="E45" i="9"/>
  <c r="E43" i="9"/>
  <c r="E37" i="9"/>
  <c r="E34" i="9"/>
  <c r="E28" i="9"/>
  <c r="E27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4" i="6"/>
  <c r="E64" i="6"/>
  <c r="H63" i="5"/>
  <c r="E63" i="5"/>
  <c r="D71" i="6"/>
  <c r="G71" i="6"/>
  <c r="D70" i="5"/>
  <c r="G70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5" i="10"/>
  <c r="D74" i="11"/>
  <c r="D70" i="9"/>
  <c r="D69" i="9"/>
  <c r="G113" i="33" l="1"/>
  <c r="C113" i="33"/>
  <c r="C114" i="33" s="1"/>
  <c r="F114" i="24"/>
  <c r="G113" i="24"/>
  <c r="C113" i="24"/>
  <c r="C114" i="24" s="1"/>
  <c r="F278" i="28"/>
  <c r="F244" i="28"/>
  <c r="E77" i="9" l="1"/>
  <c r="D338" i="28" l="1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9" i="6"/>
  <c r="D89" i="6"/>
  <c r="D91" i="6"/>
  <c r="G91" i="6"/>
  <c r="I88" i="5"/>
  <c r="H88" i="5"/>
  <c r="E88" i="5"/>
  <c r="D88" i="5" s="1"/>
  <c r="F88" i="5"/>
  <c r="D90" i="5"/>
  <c r="G90" i="5"/>
  <c r="D83" i="10"/>
  <c r="E83" i="10"/>
  <c r="D85" i="10"/>
  <c r="E92" i="11"/>
  <c r="D92" i="11" s="1"/>
  <c r="D94" i="11"/>
  <c r="D90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D15" i="5" l="1"/>
  <c r="G15" i="5"/>
  <c r="D14" i="5"/>
  <c r="G14" i="5"/>
  <c r="D84" i="20"/>
  <c r="G84" i="20"/>
  <c r="D87" i="6"/>
  <c r="G87" i="6"/>
  <c r="D86" i="5"/>
  <c r="G86" i="5"/>
  <c r="D81" i="10"/>
  <c r="E85" i="11"/>
  <c r="D85" i="11" s="1"/>
  <c r="D90" i="11"/>
  <c r="D86" i="9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3" i="9" l="1"/>
  <c r="E146" i="9"/>
  <c r="E145" i="9"/>
  <c r="E142" i="9"/>
  <c r="E194" i="5" l="1"/>
  <c r="E84" i="17" s="1"/>
  <c r="E190" i="9"/>
  <c r="D190" i="9" s="1"/>
  <c r="E188" i="9"/>
  <c r="D188" i="9" s="1"/>
  <c r="E72" i="1"/>
  <c r="D72" i="1" s="1"/>
  <c r="E28" i="1"/>
  <c r="E27" i="1"/>
  <c r="E26" i="1"/>
  <c r="D143" i="9"/>
  <c r="D141" i="9"/>
  <c r="E76" i="1" l="1"/>
  <c r="D76" i="1" s="1"/>
  <c r="E67" i="9"/>
  <c r="E16" i="9"/>
  <c r="G114" i="24" l="1"/>
  <c r="G114" i="33"/>
  <c r="E63" i="9"/>
  <c r="D63" i="9" s="1"/>
  <c r="G114" i="28"/>
  <c r="E181" i="5"/>
  <c r="E201" i="9" l="1"/>
  <c r="D15" i="9" l="1"/>
  <c r="E15" i="9"/>
  <c r="E12" i="9" s="1"/>
  <c r="D14" i="9"/>
  <c r="D10" i="9" l="1"/>
  <c r="D12" i="9"/>
  <c r="D14" i="10" l="1"/>
  <c r="F185" i="28" l="1"/>
  <c r="E80" i="17" l="1"/>
  <c r="F80" i="17"/>
  <c r="H80" i="17"/>
  <c r="I80" i="17"/>
  <c r="E32" i="17"/>
  <c r="F32" i="17"/>
  <c r="H32" i="17"/>
  <c r="I32" i="17"/>
  <c r="E190" i="5"/>
  <c r="D190" i="5" s="1"/>
  <c r="H190" i="5"/>
  <c r="G190" i="5" s="1"/>
  <c r="D145" i="5"/>
  <c r="G145" i="5"/>
  <c r="D48" i="5"/>
  <c r="G48" i="5"/>
  <c r="E77" i="13"/>
  <c r="D77" i="13" s="1"/>
  <c r="E32" i="13"/>
  <c r="D32" i="13" s="1"/>
  <c r="E185" i="10"/>
  <c r="D185" i="10" s="1"/>
  <c r="D140" i="10"/>
  <c r="D44" i="10"/>
  <c r="E77" i="30"/>
  <c r="D77" i="30" s="1"/>
  <c r="E32" i="30"/>
  <c r="D32" i="30" s="1"/>
  <c r="E194" i="11"/>
  <c r="D194" i="11"/>
  <c r="D149" i="11"/>
  <c r="D53" i="11"/>
  <c r="E32" i="1"/>
  <c r="D32" i="1" s="1"/>
  <c r="E194" i="9"/>
  <c r="D194" i="9" s="1"/>
  <c r="D147" i="9"/>
  <c r="D48" i="9"/>
  <c r="E80" i="1" l="1"/>
  <c r="D80" i="1" s="1"/>
  <c r="G80" i="17"/>
  <c r="G32" i="17"/>
  <c r="D32" i="17"/>
  <c r="D80" i="17"/>
  <c r="I64" i="6"/>
  <c r="F64" i="6"/>
  <c r="G67" i="6"/>
  <c r="D67" i="6"/>
  <c r="G66" i="5"/>
  <c r="D66" i="5"/>
  <c r="D61" i="10"/>
  <c r="D70" i="11"/>
  <c r="D66" i="9"/>
  <c r="D64" i="6" l="1"/>
  <c r="G92" i="6" l="1"/>
  <c r="I89" i="6"/>
  <c r="H89" i="6" s="1"/>
  <c r="G89" i="6" s="1"/>
  <c r="E89" i="6" s="1"/>
  <c r="D92" i="6"/>
  <c r="G91" i="5"/>
  <c r="G89" i="5"/>
  <c r="D91" i="5"/>
  <c r="D92" i="5"/>
  <c r="G92" i="5"/>
  <c r="G88" i="5" s="1"/>
  <c r="F83" i="10"/>
  <c r="D86" i="10"/>
  <c r="D84" i="10"/>
  <c r="F92" i="11"/>
  <c r="D95" i="11"/>
  <c r="F88" i="9"/>
  <c r="E88" i="9"/>
  <c r="D88" i="9" s="1"/>
  <c r="D91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F323" i="28"/>
  <c r="F233" i="28"/>
  <c r="F157" i="28" l="1"/>
  <c r="F138" i="15" l="1"/>
  <c r="F336" i="28"/>
  <c r="E34" i="10" l="1"/>
  <c r="E31" i="10"/>
  <c r="E25" i="10"/>
  <c r="E62" i="10"/>
  <c r="E76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C141" i="28" s="1"/>
  <c r="F200" i="28" l="1"/>
  <c r="D8" i="10" l="1"/>
  <c r="E215" i="6"/>
  <c r="D215" i="6" s="1"/>
  <c r="H215" i="6"/>
  <c r="G215" i="6" s="1"/>
  <c r="E198" i="6"/>
  <c r="D198" i="6" s="1"/>
  <c r="H198" i="6"/>
  <c r="G198" i="6" s="1"/>
  <c r="I163" i="6"/>
  <c r="H163" i="6"/>
  <c r="F163" i="6"/>
  <c r="E163" i="6"/>
  <c r="D171" i="6"/>
  <c r="G171" i="6"/>
  <c r="D154" i="6"/>
  <c r="G154" i="6"/>
  <c r="D153" i="6"/>
  <c r="I98" i="6"/>
  <c r="H98" i="6"/>
  <c r="F98" i="6"/>
  <c r="E98" i="6"/>
  <c r="D106" i="6"/>
  <c r="G106" i="6"/>
  <c r="D61" i="6"/>
  <c r="D62" i="6"/>
  <c r="G62" i="6"/>
  <c r="F106" i="17"/>
  <c r="I106" i="17"/>
  <c r="F89" i="17"/>
  <c r="I89" i="17"/>
  <c r="E58" i="17"/>
  <c r="F58" i="17"/>
  <c r="H58" i="17"/>
  <c r="I58" i="17"/>
  <c r="E216" i="5"/>
  <c r="E106" i="17" s="1"/>
  <c r="H216" i="5"/>
  <c r="G216" i="5" s="1"/>
  <c r="E199" i="5"/>
  <c r="E89" i="17" s="1"/>
  <c r="E198" i="5"/>
  <c r="H199" i="5"/>
  <c r="G199" i="5" s="1"/>
  <c r="I163" i="5"/>
  <c r="H163" i="5"/>
  <c r="G163" i="5" s="1"/>
  <c r="F163" i="5"/>
  <c r="E163" i="5"/>
  <c r="D163" i="5" s="1"/>
  <c r="D171" i="5"/>
  <c r="G171" i="5"/>
  <c r="D170" i="5"/>
  <c r="D154" i="5"/>
  <c r="G154" i="5"/>
  <c r="D153" i="5"/>
  <c r="G105" i="5"/>
  <c r="D105" i="5"/>
  <c r="H97" i="5"/>
  <c r="E97" i="5"/>
  <c r="D61" i="5"/>
  <c r="G61" i="5"/>
  <c r="E58" i="13"/>
  <c r="D58" i="13" s="1"/>
  <c r="E41" i="13"/>
  <c r="D41" i="13" s="1"/>
  <c r="E211" i="10"/>
  <c r="E103" i="13" s="1"/>
  <c r="D103" i="13" s="1"/>
  <c r="E194" i="10"/>
  <c r="E86" i="13" s="1"/>
  <c r="D86" i="13" s="1"/>
  <c r="E92" i="10"/>
  <c r="D194" i="10"/>
  <c r="E193" i="10"/>
  <c r="D166" i="10"/>
  <c r="D149" i="10"/>
  <c r="D148" i="10"/>
  <c r="D100" i="10"/>
  <c r="D99" i="10"/>
  <c r="D57" i="10"/>
  <c r="D199" i="5" l="1"/>
  <c r="H89" i="17"/>
  <c r="G89" i="17" s="1"/>
  <c r="H106" i="17"/>
  <c r="G106" i="17" s="1"/>
  <c r="D216" i="5"/>
  <c r="D89" i="17"/>
  <c r="G58" i="17"/>
  <c r="D106" i="17"/>
  <c r="D211" i="10"/>
  <c r="D58" i="17"/>
  <c r="D56" i="10"/>
  <c r="E86" i="30"/>
  <c r="D86" i="30" s="1"/>
  <c r="F87" i="30"/>
  <c r="E58" i="30"/>
  <c r="D58" i="30" s="1"/>
  <c r="E41" i="30"/>
  <c r="D41" i="30" s="1"/>
  <c r="E220" i="11"/>
  <c r="E103" i="30" s="1"/>
  <c r="D103" i="30" s="1"/>
  <c r="E203" i="11"/>
  <c r="D203" i="11"/>
  <c r="E138" i="11"/>
  <c r="E163" i="11"/>
  <c r="E167" i="11"/>
  <c r="D167" i="11"/>
  <c r="D175" i="11"/>
  <c r="D158" i="11"/>
  <c r="D157" i="11"/>
  <c r="E101" i="11"/>
  <c r="D109" i="11"/>
  <c r="D108" i="11"/>
  <c r="D66" i="11"/>
  <c r="E58" i="1"/>
  <c r="D58" i="1" s="1"/>
  <c r="E41" i="1"/>
  <c r="D41" i="1" s="1"/>
  <c r="E220" i="9"/>
  <c r="D220" i="9" s="1"/>
  <c r="E203" i="9"/>
  <c r="E202" i="9"/>
  <c r="D203" i="9"/>
  <c r="E165" i="9"/>
  <c r="E97" i="9"/>
  <c r="D156" i="9"/>
  <c r="D173" i="9"/>
  <c r="D172" i="9"/>
  <c r="E219" i="9"/>
  <c r="D219" i="9" s="1"/>
  <c r="E89" i="1"/>
  <c r="D89" i="1" s="1"/>
  <c r="D105" i="9"/>
  <c r="D61" i="9"/>
  <c r="D220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3" i="20" l="1"/>
  <c r="H208" i="20"/>
  <c r="G208" i="20" s="1"/>
  <c r="E208" i="20"/>
  <c r="D208" i="20" s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/>
  <c r="H202" i="20"/>
  <c r="G202" i="20" s="1"/>
  <c r="E202" i="20"/>
  <c r="D202" i="20" s="1"/>
  <c r="I200" i="20"/>
  <c r="I196" i="20" s="1"/>
  <c r="F200" i="20"/>
  <c r="F196" i="20" s="1"/>
  <c r="H199" i="20"/>
  <c r="G199" i="20" s="1"/>
  <c r="E199" i="20"/>
  <c r="D199" i="20" s="1"/>
  <c r="H198" i="20"/>
  <c r="G198" i="20"/>
  <c r="E198" i="20"/>
  <c r="D198" i="20" s="1"/>
  <c r="H195" i="20"/>
  <c r="G195" i="20" s="1"/>
  <c r="E195" i="20"/>
  <c r="D195" i="20"/>
  <c r="H194" i="20"/>
  <c r="G194" i="20" s="1"/>
  <c r="E194" i="20"/>
  <c r="D194" i="20" s="1"/>
  <c r="G193" i="20"/>
  <c r="D193" i="20"/>
  <c r="I192" i="20"/>
  <c r="F192" i="20"/>
  <c r="E192" i="20"/>
  <c r="D192" i="20" s="1"/>
  <c r="H191" i="20"/>
  <c r="G191" i="20" s="1"/>
  <c r="E191" i="20"/>
  <c r="D191" i="20" s="1"/>
  <c r="H190" i="20"/>
  <c r="G190" i="20" s="1"/>
  <c r="E190" i="20"/>
  <c r="D190" i="20" s="1"/>
  <c r="H189" i="20"/>
  <c r="G189" i="20" s="1"/>
  <c r="E189" i="20"/>
  <c r="D189" i="20" s="1"/>
  <c r="I188" i="20"/>
  <c r="F188" i="20"/>
  <c r="H187" i="20"/>
  <c r="G187" i="20" s="1"/>
  <c r="E187" i="20"/>
  <c r="D187" i="20" s="1"/>
  <c r="H186" i="20"/>
  <c r="G186" i="20" s="1"/>
  <c r="E186" i="20"/>
  <c r="D186" i="20" s="1"/>
  <c r="D185" i="20" s="1"/>
  <c r="I185" i="20"/>
  <c r="F185" i="20"/>
  <c r="H184" i="20"/>
  <c r="G184" i="20" s="1"/>
  <c r="E184" i="20"/>
  <c r="D184" i="20" s="1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I177" i="20"/>
  <c r="F177" i="20"/>
  <c r="H176" i="20"/>
  <c r="G176" i="20" s="1"/>
  <c r="E176" i="20"/>
  <c r="D176" i="20" s="1"/>
  <c r="H175" i="20"/>
  <c r="G175" i="20" s="1"/>
  <c r="E175" i="20"/>
  <c r="D175" i="20" s="1"/>
  <c r="H172" i="20"/>
  <c r="G172" i="20" s="1"/>
  <c r="E172" i="20"/>
  <c r="D172" i="20" s="1"/>
  <c r="I170" i="20"/>
  <c r="F170" i="20"/>
  <c r="E170" i="20"/>
  <c r="G166" i="20"/>
  <c r="D166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I158" i="20"/>
  <c r="H158" i="20"/>
  <c r="H154" i="20" s="1"/>
  <c r="F158" i="20"/>
  <c r="F154" i="20" s="1"/>
  <c r="E158" i="20"/>
  <c r="E154" i="20" s="1"/>
  <c r="G157" i="20"/>
  <c r="D157" i="20"/>
  <c r="G156" i="20"/>
  <c r="D156" i="20"/>
  <c r="I154" i="20"/>
  <c r="G153" i="20"/>
  <c r="D153" i="20"/>
  <c r="G152" i="20"/>
  <c r="D152" i="20"/>
  <c r="G151" i="20"/>
  <c r="D151" i="20"/>
  <c r="I150" i="20"/>
  <c r="G150" i="20" s="1"/>
  <c r="H150" i="20"/>
  <c r="F150" i="20"/>
  <c r="E150" i="20"/>
  <c r="G149" i="20"/>
  <c r="D149" i="20"/>
  <c r="G148" i="20"/>
  <c r="D148" i="20"/>
  <c r="G147" i="20"/>
  <c r="D147" i="20"/>
  <c r="I146" i="20"/>
  <c r="H146" i="20"/>
  <c r="F146" i="20"/>
  <c r="E146" i="20"/>
  <c r="G145" i="20"/>
  <c r="G143" i="20" s="1"/>
  <c r="D145" i="20"/>
  <c r="G144" i="20"/>
  <c r="D144" i="20"/>
  <c r="I143" i="20"/>
  <c r="H143" i="20"/>
  <c r="F143" i="20"/>
  <c r="E143" i="20"/>
  <c r="D143" i="20"/>
  <c r="G142" i="20"/>
  <c r="D142" i="20"/>
  <c r="G141" i="20"/>
  <c r="D141" i="20"/>
  <c r="G140" i="20"/>
  <c r="D140" i="20"/>
  <c r="G139" i="20"/>
  <c r="D139" i="20"/>
  <c r="G138" i="20"/>
  <c r="D138" i="20"/>
  <c r="G137" i="20"/>
  <c r="D137" i="20"/>
  <c r="I135" i="20"/>
  <c r="G135" i="20" s="1"/>
  <c r="H135" i="20"/>
  <c r="F135" i="20"/>
  <c r="E135" i="20"/>
  <c r="G134" i="20"/>
  <c r="D134" i="20"/>
  <c r="G133" i="20"/>
  <c r="D133" i="20"/>
  <c r="H131" i="20"/>
  <c r="G130" i="20"/>
  <c r="D130" i="20"/>
  <c r="I128" i="20"/>
  <c r="H128" i="20"/>
  <c r="F128" i="20"/>
  <c r="E128" i="20"/>
  <c r="D128" i="20" s="1"/>
  <c r="N123" i="20"/>
  <c r="G122" i="20"/>
  <c r="D122" i="20"/>
  <c r="G108" i="20"/>
  <c r="G107" i="20"/>
  <c r="G106" i="20"/>
  <c r="I104" i="20"/>
  <c r="H104" i="20"/>
  <c r="G103" i="20"/>
  <c r="G102" i="20"/>
  <c r="G101" i="20"/>
  <c r="G100" i="20"/>
  <c r="G99" i="20"/>
  <c r="G98" i="20"/>
  <c r="G97" i="20"/>
  <c r="I95" i="20"/>
  <c r="I91" i="20" s="1"/>
  <c r="H95" i="20"/>
  <c r="H91" i="20" s="1"/>
  <c r="G91" i="20" s="1"/>
  <c r="G94" i="20"/>
  <c r="G93" i="20"/>
  <c r="G90" i="20"/>
  <c r="G87" i="20"/>
  <c r="I86" i="20"/>
  <c r="H86" i="20"/>
  <c r="G85" i="20"/>
  <c r="G83" i="20"/>
  <c r="G82" i="20"/>
  <c r="G81" i="20"/>
  <c r="G80" i="20"/>
  <c r="I79" i="20"/>
  <c r="H79" i="20"/>
  <c r="G79" i="20" s="1"/>
  <c r="G78" i="20"/>
  <c r="G77" i="20"/>
  <c r="G76" i="20"/>
  <c r="G75" i="20"/>
  <c r="G74" i="20"/>
  <c r="G73" i="20"/>
  <c r="I72" i="20"/>
  <c r="H72" i="20"/>
  <c r="H70" i="20" s="1"/>
  <c r="G71" i="20"/>
  <c r="G69" i="20"/>
  <c r="G67" i="20"/>
  <c r="G66" i="20"/>
  <c r="I65" i="20"/>
  <c r="I62" i="20" s="1"/>
  <c r="H65" i="20"/>
  <c r="G64" i="20"/>
  <c r="H62" i="20"/>
  <c r="G61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8" i="20"/>
  <c r="D107" i="20"/>
  <c r="D106" i="20"/>
  <c r="F104" i="20"/>
  <c r="E104" i="20"/>
  <c r="D103" i="20"/>
  <c r="D102" i="20"/>
  <c r="D101" i="20"/>
  <c r="D100" i="20"/>
  <c r="D99" i="20"/>
  <c r="D98" i="20"/>
  <c r="D97" i="20"/>
  <c r="F95" i="20"/>
  <c r="F91" i="20" s="1"/>
  <c r="E95" i="20"/>
  <c r="D94" i="20"/>
  <c r="D93" i="20"/>
  <c r="D90" i="20"/>
  <c r="D87" i="20"/>
  <c r="F86" i="20"/>
  <c r="E86" i="20"/>
  <c r="D85" i="20"/>
  <c r="D83" i="20"/>
  <c r="D82" i="20"/>
  <c r="D81" i="20"/>
  <c r="D80" i="20"/>
  <c r="F79" i="20"/>
  <c r="E79" i="20"/>
  <c r="D78" i="20"/>
  <c r="D77" i="20"/>
  <c r="D76" i="20"/>
  <c r="D75" i="20"/>
  <c r="D74" i="20"/>
  <c r="D73" i="20"/>
  <c r="F72" i="20"/>
  <c r="E72" i="20"/>
  <c r="D72" i="20"/>
  <c r="D71" i="20"/>
  <c r="D69" i="20"/>
  <c r="D67" i="20"/>
  <c r="D66" i="20"/>
  <c r="F65" i="20"/>
  <c r="E65" i="20"/>
  <c r="D65" i="20" s="1"/>
  <c r="D64" i="20"/>
  <c r="F62" i="20"/>
  <c r="D61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70" i="20" l="1"/>
  <c r="I70" i="20"/>
  <c r="G70" i="20" s="1"/>
  <c r="G158" i="20"/>
  <c r="I173" i="20"/>
  <c r="I168" i="20" s="1"/>
  <c r="D34" i="20"/>
  <c r="D40" i="20"/>
  <c r="G34" i="20"/>
  <c r="G40" i="20"/>
  <c r="G86" i="20"/>
  <c r="G104" i="20"/>
  <c r="D135" i="20"/>
  <c r="D150" i="20"/>
  <c r="G45" i="18"/>
  <c r="F66" i="17"/>
  <c r="F61" i="17" s="1"/>
  <c r="I66" i="17"/>
  <c r="I61" i="17" s="1"/>
  <c r="H126" i="20"/>
  <c r="D86" i="20"/>
  <c r="D104" i="20"/>
  <c r="I37" i="20"/>
  <c r="I27" i="20" s="1"/>
  <c r="I25" i="20" s="1"/>
  <c r="I9" i="20" s="1"/>
  <c r="E177" i="20"/>
  <c r="D177" i="20" s="1"/>
  <c r="H185" i="20"/>
  <c r="E62" i="20"/>
  <c r="D62" i="20" s="1"/>
  <c r="F70" i="20"/>
  <c r="D70" i="20" s="1"/>
  <c r="G51" i="20"/>
  <c r="G72" i="20"/>
  <c r="F131" i="20"/>
  <c r="F126" i="20" s="1"/>
  <c r="F123" i="20" s="1"/>
  <c r="G146" i="20"/>
  <c r="D158" i="20"/>
  <c r="G154" i="20"/>
  <c r="D170" i="20"/>
  <c r="F173" i="20"/>
  <c r="G62" i="20"/>
  <c r="G185" i="20"/>
  <c r="G72" i="19"/>
  <c r="D95" i="20"/>
  <c r="G65" i="20"/>
  <c r="G128" i="20"/>
  <c r="D146" i="20"/>
  <c r="D154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200" i="20"/>
  <c r="D200" i="20" s="1"/>
  <c r="E91" i="20"/>
  <c r="D91" i="20" s="1"/>
  <c r="E188" i="20"/>
  <c r="D188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F168" i="20"/>
  <c r="H192" i="20"/>
  <c r="G192" i="20" s="1"/>
  <c r="E131" i="20"/>
  <c r="I131" i="20"/>
  <c r="E185" i="20"/>
  <c r="H170" i="20"/>
  <c r="H177" i="20"/>
  <c r="H188" i="20"/>
  <c r="G188" i="20" s="1"/>
  <c r="H200" i="20"/>
  <c r="G12" i="20"/>
  <c r="G43" i="20"/>
  <c r="G95" i="20"/>
  <c r="G10" i="20"/>
  <c r="G29" i="20"/>
  <c r="D10" i="20"/>
  <c r="E37" i="20"/>
  <c r="F37" i="20"/>
  <c r="F27" i="20" s="1"/>
  <c r="F25" i="20" s="1"/>
  <c r="F9" i="20" s="1"/>
  <c r="E29" i="20"/>
  <c r="D79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E18" i="17"/>
  <c r="E13" i="17" s="1"/>
  <c r="E46" i="17"/>
  <c r="D46" i="17" s="1"/>
  <c r="F18" i="17"/>
  <c r="F13" i="17" s="1"/>
  <c r="D22" i="17"/>
  <c r="E173" i="20" l="1"/>
  <c r="D173" i="20" s="1"/>
  <c r="D37" i="20"/>
  <c r="F10" i="17"/>
  <c r="G55" i="19"/>
  <c r="D18" i="19"/>
  <c r="G60" i="19"/>
  <c r="H27" i="20"/>
  <c r="G27" i="20" s="1"/>
  <c r="H25" i="20"/>
  <c r="G25" i="20" s="1"/>
  <c r="E196" i="20"/>
  <c r="D196" i="20" s="1"/>
  <c r="F10" i="18"/>
  <c r="I10" i="18"/>
  <c r="I10" i="17"/>
  <c r="G18" i="18"/>
  <c r="H173" i="20"/>
  <c r="G173" i="20" s="1"/>
  <c r="G177" i="20"/>
  <c r="G170" i="20"/>
  <c r="E168" i="20"/>
  <c r="D168" i="20" s="1"/>
  <c r="G200" i="20"/>
  <c r="H196" i="20"/>
  <c r="G196" i="20" s="1"/>
  <c r="G131" i="20"/>
  <c r="I126" i="20"/>
  <c r="E126" i="20"/>
  <c r="D131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8" i="20"/>
  <c r="G168" i="20" s="1"/>
  <c r="D126" i="20"/>
  <c r="E123" i="20"/>
  <c r="D123" i="20" s="1"/>
  <c r="L123" i="20" s="1"/>
  <c r="I123" i="20"/>
  <c r="G126" i="20"/>
  <c r="D27" i="20"/>
  <c r="E25" i="20"/>
  <c r="G13" i="19"/>
  <c r="H10" i="19"/>
  <c r="G10" i="19" s="1"/>
  <c r="D13" i="18"/>
  <c r="H123" i="20" l="1"/>
  <c r="G123" i="20" s="1"/>
  <c r="O123" i="20" s="1"/>
  <c r="P123" i="20" s="1"/>
  <c r="M123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6" i="6"/>
  <c r="E216" i="6"/>
  <c r="E95" i="18" s="1"/>
  <c r="D95" i="18" s="1"/>
  <c r="D216" i="6"/>
  <c r="H214" i="6"/>
  <c r="E214" i="6"/>
  <c r="E94" i="18" s="1"/>
  <c r="D94" i="18" s="1"/>
  <c r="H213" i="6"/>
  <c r="E213" i="6"/>
  <c r="E93" i="18" s="1"/>
  <c r="D93" i="18" s="1"/>
  <c r="H212" i="6"/>
  <c r="E212" i="6"/>
  <c r="E92" i="18" s="1"/>
  <c r="D92" i="18" s="1"/>
  <c r="H211" i="6"/>
  <c r="E211" i="6"/>
  <c r="E91" i="18" s="1"/>
  <c r="H210" i="6"/>
  <c r="E210" i="6"/>
  <c r="E90" i="18" s="1"/>
  <c r="D90" i="18" s="1"/>
  <c r="H209" i="6"/>
  <c r="E209" i="6"/>
  <c r="E89" i="18" s="1"/>
  <c r="D89" i="18" s="1"/>
  <c r="D209" i="6"/>
  <c r="I207" i="6"/>
  <c r="F207" i="6"/>
  <c r="F203" i="6" s="1"/>
  <c r="H206" i="6"/>
  <c r="H86" i="18" s="1"/>
  <c r="G86" i="18" s="1"/>
  <c r="E206" i="6"/>
  <c r="H205" i="6"/>
  <c r="H85" i="18" s="1"/>
  <c r="G85" i="18" s="1"/>
  <c r="G205" i="6"/>
  <c r="E205" i="6"/>
  <c r="I203" i="6"/>
  <c r="H202" i="6"/>
  <c r="E202" i="6"/>
  <c r="E82" i="18" s="1"/>
  <c r="D82" i="18" s="1"/>
  <c r="H201" i="6"/>
  <c r="H199" i="6" s="1"/>
  <c r="G199" i="6" s="1"/>
  <c r="E201" i="6"/>
  <c r="E81" i="18" s="1"/>
  <c r="G200" i="6"/>
  <c r="D200" i="6"/>
  <c r="I199" i="6"/>
  <c r="F199" i="6"/>
  <c r="H197" i="6"/>
  <c r="E197" i="6"/>
  <c r="E78" i="18" s="1"/>
  <c r="D78" i="18" s="1"/>
  <c r="H196" i="6"/>
  <c r="E196" i="6"/>
  <c r="E77" i="18" s="1"/>
  <c r="H195" i="6"/>
  <c r="E195" i="6"/>
  <c r="E76" i="18" s="1"/>
  <c r="D76" i="18" s="1"/>
  <c r="I194" i="6"/>
  <c r="F194" i="6"/>
  <c r="H193" i="6"/>
  <c r="H74" i="18" s="1"/>
  <c r="E193" i="6"/>
  <c r="H192" i="6"/>
  <c r="H73" i="18" s="1"/>
  <c r="G73" i="18" s="1"/>
  <c r="E192" i="6"/>
  <c r="I191" i="6"/>
  <c r="F191" i="6"/>
  <c r="H190" i="6"/>
  <c r="E190" i="6"/>
  <c r="E71" i="18" s="1"/>
  <c r="D71" i="18" s="1"/>
  <c r="H189" i="6"/>
  <c r="E189" i="6"/>
  <c r="E70" i="18" s="1"/>
  <c r="D70" i="18" s="1"/>
  <c r="H188" i="6"/>
  <c r="E188" i="6"/>
  <c r="E69" i="18" s="1"/>
  <c r="D69" i="18" s="1"/>
  <c r="H187" i="6"/>
  <c r="E187" i="6"/>
  <c r="E68" i="18" s="1"/>
  <c r="D68" i="18" s="1"/>
  <c r="H186" i="6"/>
  <c r="E186" i="6"/>
  <c r="E67" i="18" s="1"/>
  <c r="D67" i="18" s="1"/>
  <c r="H185" i="6"/>
  <c r="E185" i="6"/>
  <c r="E66" i="18" s="1"/>
  <c r="I183" i="6"/>
  <c r="F183" i="6"/>
  <c r="F179" i="6" s="1"/>
  <c r="H182" i="6"/>
  <c r="H63" i="18" s="1"/>
  <c r="G63" i="18" s="1"/>
  <c r="G182" i="6"/>
  <c r="E182" i="6"/>
  <c r="H181" i="6"/>
  <c r="H62" i="18" s="1"/>
  <c r="G62" i="18" s="1"/>
  <c r="E181" i="6"/>
  <c r="H178" i="6"/>
  <c r="E178" i="6"/>
  <c r="E59" i="18" s="1"/>
  <c r="D178" i="6"/>
  <c r="I176" i="6"/>
  <c r="F176" i="6"/>
  <c r="E176" i="6"/>
  <c r="G172" i="6"/>
  <c r="D172" i="6"/>
  <c r="G170" i="6"/>
  <c r="D170" i="6"/>
  <c r="G169" i="6"/>
  <c r="D169" i="6"/>
  <c r="G168" i="6"/>
  <c r="D168" i="6"/>
  <c r="G167" i="6"/>
  <c r="D167" i="6"/>
  <c r="G166" i="6"/>
  <c r="D166" i="6"/>
  <c r="G165" i="6"/>
  <c r="D165" i="6"/>
  <c r="I159" i="6"/>
  <c r="D163" i="6"/>
  <c r="G162" i="6"/>
  <c r="D162" i="6"/>
  <c r="G161" i="6"/>
  <c r="D161" i="6"/>
  <c r="E159" i="6"/>
  <c r="G158" i="6"/>
  <c r="D158" i="6"/>
  <c r="G157" i="6"/>
  <c r="D157" i="6"/>
  <c r="G156" i="6"/>
  <c r="D156" i="6"/>
  <c r="I155" i="6"/>
  <c r="H155" i="6"/>
  <c r="F155" i="6"/>
  <c r="E155" i="6"/>
  <c r="G153" i="6"/>
  <c r="G152" i="6"/>
  <c r="D152" i="6"/>
  <c r="G151" i="6"/>
  <c r="D151" i="6"/>
  <c r="I150" i="6"/>
  <c r="G150" i="6" s="1"/>
  <c r="H150" i="6"/>
  <c r="F150" i="6"/>
  <c r="E150" i="6"/>
  <c r="G149" i="6"/>
  <c r="D149" i="6"/>
  <c r="G148" i="6"/>
  <c r="D148" i="6"/>
  <c r="D147" i="6" s="1"/>
  <c r="I147" i="6"/>
  <c r="H147" i="6"/>
  <c r="F147" i="6"/>
  <c r="E147" i="6"/>
  <c r="G146" i="6"/>
  <c r="D146" i="6"/>
  <c r="G145" i="6"/>
  <c r="D145" i="6"/>
  <c r="G144" i="6"/>
  <c r="D144" i="6"/>
  <c r="G143" i="6"/>
  <c r="D143" i="6"/>
  <c r="G142" i="6"/>
  <c r="D142" i="6"/>
  <c r="G141" i="6"/>
  <c r="D141" i="6"/>
  <c r="I139" i="6"/>
  <c r="H139" i="6"/>
  <c r="H135" i="6" s="1"/>
  <c r="F139" i="6"/>
  <c r="F135" i="6" s="1"/>
  <c r="E139" i="6"/>
  <c r="E135" i="6" s="1"/>
  <c r="G138" i="6"/>
  <c r="D138" i="6"/>
  <c r="G137" i="6"/>
  <c r="D137" i="6"/>
  <c r="G134" i="6"/>
  <c r="D134" i="6"/>
  <c r="I132" i="6"/>
  <c r="H132" i="6"/>
  <c r="G132" i="6" s="1"/>
  <c r="F132" i="6"/>
  <c r="E132" i="6"/>
  <c r="N127" i="6"/>
  <c r="K127" i="6"/>
  <c r="G126" i="6"/>
  <c r="D126" i="6"/>
  <c r="H108" i="6"/>
  <c r="H94" i="6"/>
  <c r="H82" i="6"/>
  <c r="H75" i="6"/>
  <c r="H68" i="6"/>
  <c r="H54" i="6"/>
  <c r="H51" i="6"/>
  <c r="H43" i="6"/>
  <c r="H40" i="6"/>
  <c r="H34" i="6"/>
  <c r="H29" i="6" s="1"/>
  <c r="H21" i="6"/>
  <c r="H10" i="6" s="1"/>
  <c r="H17" i="6"/>
  <c r="E108" i="6"/>
  <c r="E94" i="6"/>
  <c r="E82" i="6"/>
  <c r="E75" i="6"/>
  <c r="E68" i="6"/>
  <c r="E54" i="6"/>
  <c r="E51" i="6"/>
  <c r="E43" i="6"/>
  <c r="E40" i="6"/>
  <c r="E34" i="6"/>
  <c r="E29" i="6" s="1"/>
  <c r="E21" i="6"/>
  <c r="E17" i="6"/>
  <c r="N126" i="5"/>
  <c r="K126" i="5"/>
  <c r="H107" i="5"/>
  <c r="H93" i="5"/>
  <c r="H81" i="5"/>
  <c r="H74" i="5"/>
  <c r="H67" i="5"/>
  <c r="H50" i="5"/>
  <c r="H38" i="5"/>
  <c r="H35" i="5"/>
  <c r="H29" i="5"/>
  <c r="H24" i="5" s="1"/>
  <c r="H16" i="5"/>
  <c r="H10" i="5" s="1"/>
  <c r="H217" i="5"/>
  <c r="H215" i="5"/>
  <c r="H105" i="17" s="1"/>
  <c r="G105" i="17" s="1"/>
  <c r="H214" i="5"/>
  <c r="H213" i="5"/>
  <c r="H212" i="5"/>
  <c r="H211" i="5"/>
  <c r="H101" i="17" s="1"/>
  <c r="G101" i="17" s="1"/>
  <c r="H210" i="5"/>
  <c r="I208" i="5"/>
  <c r="I204" i="5" s="1"/>
  <c r="H207" i="5"/>
  <c r="H206" i="5"/>
  <c r="H203" i="5"/>
  <c r="H202" i="5"/>
  <c r="G201" i="5"/>
  <c r="I200" i="5"/>
  <c r="H198" i="5"/>
  <c r="H197" i="5"/>
  <c r="H196" i="5"/>
  <c r="I195" i="5"/>
  <c r="H194" i="5"/>
  <c r="H193" i="5"/>
  <c r="I192" i="5"/>
  <c r="H191" i="5"/>
  <c r="H189" i="5"/>
  <c r="H79" i="17" s="1"/>
  <c r="G79" i="17" s="1"/>
  <c r="H188" i="5"/>
  <c r="H187" i="5"/>
  <c r="H186" i="5"/>
  <c r="H185" i="5"/>
  <c r="I183" i="5"/>
  <c r="H182" i="5"/>
  <c r="H181" i="5"/>
  <c r="H178" i="5"/>
  <c r="I176" i="5"/>
  <c r="G172" i="5"/>
  <c r="G170" i="5"/>
  <c r="G169" i="5"/>
  <c r="G168" i="5"/>
  <c r="G167" i="5"/>
  <c r="G166" i="5"/>
  <c r="G165" i="5"/>
  <c r="I159" i="5"/>
  <c r="G162" i="5"/>
  <c r="G161" i="5"/>
  <c r="G158" i="5"/>
  <c r="G157" i="5"/>
  <c r="G156" i="5"/>
  <c r="I155" i="5"/>
  <c r="I41" i="17" s="1"/>
  <c r="H155" i="5"/>
  <c r="G153" i="5"/>
  <c r="G152" i="5"/>
  <c r="G151" i="5"/>
  <c r="I150" i="5"/>
  <c r="H150" i="5"/>
  <c r="G149" i="5"/>
  <c r="G148" i="5"/>
  <c r="I147" i="5"/>
  <c r="H147" i="5"/>
  <c r="G146" i="5"/>
  <c r="G144" i="5"/>
  <c r="G143" i="5"/>
  <c r="G142" i="5"/>
  <c r="G141" i="5"/>
  <c r="G140" i="5"/>
  <c r="I138" i="5"/>
  <c r="H138" i="5"/>
  <c r="G138" i="5" s="1"/>
  <c r="G137" i="5"/>
  <c r="G136" i="5"/>
  <c r="G133" i="5"/>
  <c r="I131" i="5"/>
  <c r="H131" i="5"/>
  <c r="G125" i="5"/>
  <c r="E107" i="5"/>
  <c r="E81" i="5"/>
  <c r="E74" i="5"/>
  <c r="E67" i="5"/>
  <c r="E50" i="5"/>
  <c r="E38" i="5"/>
  <c r="E35" i="5"/>
  <c r="E29" i="5"/>
  <c r="E24" i="5" s="1"/>
  <c r="E16" i="5"/>
  <c r="E10" i="5" s="1"/>
  <c r="F208" i="5"/>
  <c r="E207" i="5"/>
  <c r="E206" i="5"/>
  <c r="F204" i="5"/>
  <c r="E203" i="5"/>
  <c r="E93" i="17" s="1"/>
  <c r="D93" i="17" s="1"/>
  <c r="E202" i="5"/>
  <c r="E92" i="17" s="1"/>
  <c r="D201" i="5"/>
  <c r="F200" i="5"/>
  <c r="E197" i="5"/>
  <c r="E196" i="5"/>
  <c r="F195" i="5"/>
  <c r="E193" i="5"/>
  <c r="F192" i="5"/>
  <c r="E191" i="5"/>
  <c r="E81" i="17" s="1"/>
  <c r="D81" i="17" s="1"/>
  <c r="E189" i="5"/>
  <c r="E79" i="17" s="1"/>
  <c r="D79" i="17" s="1"/>
  <c r="E188" i="5"/>
  <c r="E78" i="17" s="1"/>
  <c r="D78" i="17" s="1"/>
  <c r="E187" i="5"/>
  <c r="E77" i="17" s="1"/>
  <c r="D77" i="17" s="1"/>
  <c r="E186" i="5"/>
  <c r="E75" i="17" s="1"/>
  <c r="D75" i="17" s="1"/>
  <c r="E185" i="5"/>
  <c r="F183" i="5"/>
  <c r="E182" i="5"/>
  <c r="E178" i="5"/>
  <c r="E65" i="17" s="1"/>
  <c r="F176" i="5"/>
  <c r="D172" i="5"/>
  <c r="D169" i="5"/>
  <c r="D168" i="5"/>
  <c r="D167" i="5"/>
  <c r="D166" i="5"/>
  <c r="D165" i="5"/>
  <c r="D162" i="5"/>
  <c r="D161" i="5"/>
  <c r="F159" i="5"/>
  <c r="D158" i="5"/>
  <c r="D157" i="5"/>
  <c r="D156" i="5"/>
  <c r="F155" i="5"/>
  <c r="F41" i="17" s="1"/>
  <c r="E155" i="5"/>
  <c r="E41" i="17" s="1"/>
  <c r="D152" i="5"/>
  <c r="D151" i="5"/>
  <c r="F150" i="5"/>
  <c r="E150" i="5"/>
  <c r="D149" i="5"/>
  <c r="D148" i="5"/>
  <c r="F147" i="5"/>
  <c r="E147" i="5"/>
  <c r="D146" i="5"/>
  <c r="D144" i="5"/>
  <c r="D143" i="5"/>
  <c r="D142" i="5"/>
  <c r="D141" i="5"/>
  <c r="D140" i="5"/>
  <c r="F138" i="5"/>
  <c r="E138" i="5"/>
  <c r="E134" i="5" s="1"/>
  <c r="D137" i="5"/>
  <c r="D136" i="5"/>
  <c r="D133" i="5"/>
  <c r="F131" i="5"/>
  <c r="E131" i="5"/>
  <c r="D125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2" i="10"/>
  <c r="E210" i="10"/>
  <c r="E102" i="13" s="1"/>
  <c r="D102" i="13" s="1"/>
  <c r="E209" i="10"/>
  <c r="E208" i="10"/>
  <c r="E207" i="10"/>
  <c r="E206" i="10"/>
  <c r="E98" i="13" s="1"/>
  <c r="E205" i="10"/>
  <c r="F203" i="10"/>
  <c r="F199" i="10" s="1"/>
  <c r="E202" i="10"/>
  <c r="E201" i="10"/>
  <c r="E198" i="10"/>
  <c r="E197" i="10"/>
  <c r="D196" i="10"/>
  <c r="F195" i="10"/>
  <c r="E192" i="10"/>
  <c r="E84" i="13" s="1"/>
  <c r="D84" i="13" s="1"/>
  <c r="E191" i="10"/>
  <c r="F190" i="10"/>
  <c r="E189" i="10"/>
  <c r="E188" i="10"/>
  <c r="F187" i="10"/>
  <c r="E186" i="10"/>
  <c r="E184" i="10"/>
  <c r="E76" i="13" s="1"/>
  <c r="D76" i="13" s="1"/>
  <c r="E183" i="10"/>
  <c r="E182" i="10"/>
  <c r="E181" i="10"/>
  <c r="E180" i="10"/>
  <c r="E72" i="13" s="1"/>
  <c r="D72" i="13" s="1"/>
  <c r="F178" i="10"/>
  <c r="E177" i="10"/>
  <c r="E176" i="10"/>
  <c r="E173" i="10"/>
  <c r="F171" i="10"/>
  <c r="D167" i="10"/>
  <c r="D165" i="10"/>
  <c r="D164" i="10"/>
  <c r="D163" i="10"/>
  <c r="D162" i="10"/>
  <c r="D161" i="10"/>
  <c r="D160" i="10"/>
  <c r="F158" i="10"/>
  <c r="F154" i="10" s="1"/>
  <c r="E158" i="10"/>
  <c r="D157" i="10"/>
  <c r="D156" i="10"/>
  <c r="D153" i="10"/>
  <c r="D152" i="10"/>
  <c r="D151" i="10"/>
  <c r="F150" i="10"/>
  <c r="D150" i="10" s="1"/>
  <c r="E150" i="10"/>
  <c r="D147" i="10"/>
  <c r="D146" i="10"/>
  <c r="F145" i="10"/>
  <c r="E145" i="10"/>
  <c r="D144" i="10"/>
  <c r="D143" i="10"/>
  <c r="F142" i="10"/>
  <c r="E142" i="10"/>
  <c r="D141" i="10"/>
  <c r="D139" i="10"/>
  <c r="D138" i="10"/>
  <c r="D137" i="10"/>
  <c r="D136" i="10"/>
  <c r="D135" i="10"/>
  <c r="F133" i="10"/>
  <c r="D133" i="10" s="1"/>
  <c r="E133" i="10"/>
  <c r="D132" i="10"/>
  <c r="D131" i="10"/>
  <c r="E129" i="10"/>
  <c r="D128" i="10"/>
  <c r="F126" i="10"/>
  <c r="E126" i="10"/>
  <c r="H121" i="10"/>
  <c r="D120" i="10"/>
  <c r="E221" i="11"/>
  <c r="E219" i="11"/>
  <c r="E218" i="11"/>
  <c r="E217" i="11"/>
  <c r="E100" i="30" s="1"/>
  <c r="D100" i="30" s="1"/>
  <c r="E216" i="11"/>
  <c r="E215" i="11"/>
  <c r="E98" i="30" s="1"/>
  <c r="D98" i="30" s="1"/>
  <c r="E214" i="11"/>
  <c r="F212" i="11"/>
  <c r="E211" i="11"/>
  <c r="E210" i="11"/>
  <c r="F208" i="11"/>
  <c r="E207" i="11"/>
  <c r="E206" i="11"/>
  <c r="E89" i="30" s="1"/>
  <c r="D205" i="11"/>
  <c r="F204" i="11"/>
  <c r="E202" i="11"/>
  <c r="E201" i="11"/>
  <c r="E200" i="11"/>
  <c r="F199" i="11"/>
  <c r="E198" i="11"/>
  <c r="E197" i="11"/>
  <c r="F196" i="11"/>
  <c r="E195" i="11"/>
  <c r="E193" i="11"/>
  <c r="E76" i="30" s="1"/>
  <c r="D76" i="30" s="1"/>
  <c r="E192" i="11"/>
  <c r="E191" i="11"/>
  <c r="E190" i="11"/>
  <c r="E189" i="11"/>
  <c r="E72" i="30" s="1"/>
  <c r="F187" i="11"/>
  <c r="F183" i="11" s="1"/>
  <c r="E186" i="11"/>
  <c r="E185" i="11"/>
  <c r="E182" i="11"/>
  <c r="E65" i="30" s="1"/>
  <c r="F180" i="11"/>
  <c r="D176" i="11"/>
  <c r="D174" i="11"/>
  <c r="D173" i="11"/>
  <c r="D172" i="11"/>
  <c r="D171" i="11"/>
  <c r="D170" i="11"/>
  <c r="D169" i="11"/>
  <c r="F167" i="11"/>
  <c r="D166" i="11"/>
  <c r="D165" i="11"/>
  <c r="F163" i="11"/>
  <c r="D162" i="11"/>
  <c r="D161" i="11"/>
  <c r="D160" i="11"/>
  <c r="F159" i="11"/>
  <c r="E159" i="11"/>
  <c r="D159" i="11" s="1"/>
  <c r="D156" i="11"/>
  <c r="D155" i="11"/>
  <c r="F154" i="11"/>
  <c r="E154" i="11"/>
  <c r="D154" i="11" s="1"/>
  <c r="D153" i="11"/>
  <c r="D152" i="11"/>
  <c r="F151" i="11"/>
  <c r="E151" i="11"/>
  <c r="D150" i="11"/>
  <c r="D148" i="11"/>
  <c r="D147" i="11"/>
  <c r="D146" i="11"/>
  <c r="D145" i="11"/>
  <c r="D144" i="11"/>
  <c r="F142" i="11"/>
  <c r="F138" i="11" s="1"/>
  <c r="E142" i="11"/>
  <c r="D142" i="11" s="1"/>
  <c r="D141" i="11"/>
  <c r="D140" i="11"/>
  <c r="D137" i="11"/>
  <c r="F135" i="11"/>
  <c r="E135" i="11"/>
  <c r="H130" i="11"/>
  <c r="D129" i="11"/>
  <c r="D187" i="6" l="1"/>
  <c r="D203" i="5"/>
  <c r="D202" i="5"/>
  <c r="D217" i="11"/>
  <c r="G139" i="6"/>
  <c r="I135" i="6"/>
  <c r="D132" i="6"/>
  <c r="D197" i="6"/>
  <c r="D201" i="6"/>
  <c r="G155" i="6"/>
  <c r="E37" i="6"/>
  <c r="H37" i="6"/>
  <c r="D185" i="6"/>
  <c r="D189" i="6"/>
  <c r="D41" i="17"/>
  <c r="G131" i="5"/>
  <c r="I179" i="5"/>
  <c r="I174" i="5" s="1"/>
  <c r="E73" i="17"/>
  <c r="D73" i="17" s="1"/>
  <c r="E74" i="17"/>
  <c r="D74" i="17" s="1"/>
  <c r="F179" i="5"/>
  <c r="F174" i="5" s="1"/>
  <c r="I134" i="5"/>
  <c r="I129" i="5" s="1"/>
  <c r="I126" i="5" s="1"/>
  <c r="G155" i="5"/>
  <c r="H41" i="17"/>
  <c r="G41" i="17" s="1"/>
  <c r="G185" i="5"/>
  <c r="H74" i="17"/>
  <c r="G74" i="17" s="1"/>
  <c r="H32" i="5"/>
  <c r="E32" i="5"/>
  <c r="E68" i="17"/>
  <c r="D68" i="17" s="1"/>
  <c r="E195" i="10"/>
  <c r="D195" i="10" s="1"/>
  <c r="E68" i="13"/>
  <c r="D68" i="13" s="1"/>
  <c r="G147" i="6"/>
  <c r="D212" i="6"/>
  <c r="G147" i="5"/>
  <c r="D191" i="5"/>
  <c r="D176" i="10"/>
  <c r="D180" i="10"/>
  <c r="D181" i="10"/>
  <c r="E73" i="13"/>
  <c r="D73" i="13" s="1"/>
  <c r="D189" i="10"/>
  <c r="E81" i="13"/>
  <c r="D81" i="13" s="1"/>
  <c r="F134" i="5"/>
  <c r="F129" i="5" s="1"/>
  <c r="F126" i="5" s="1"/>
  <c r="D207" i="5"/>
  <c r="E97" i="17"/>
  <c r="D97" i="17" s="1"/>
  <c r="H176" i="5"/>
  <c r="G176" i="5" s="1"/>
  <c r="H65" i="17"/>
  <c r="G207" i="5"/>
  <c r="H97" i="17"/>
  <c r="G97" i="17" s="1"/>
  <c r="F159" i="6"/>
  <c r="G189" i="6"/>
  <c r="H70" i="18"/>
  <c r="G70" i="18" s="1"/>
  <c r="G197" i="6"/>
  <c r="H78" i="18"/>
  <c r="G78" i="18" s="1"/>
  <c r="G209" i="6"/>
  <c r="H89" i="18"/>
  <c r="G89" i="18" s="1"/>
  <c r="G212" i="6"/>
  <c r="H92" i="18"/>
  <c r="G92" i="18" s="1"/>
  <c r="D135" i="11"/>
  <c r="E180" i="11"/>
  <c r="D180" i="11" s="1"/>
  <c r="D193" i="11"/>
  <c r="D197" i="11"/>
  <c r="E80" i="30"/>
  <c r="D80" i="30" s="1"/>
  <c r="D206" i="11"/>
  <c r="D215" i="11"/>
  <c r="E171" i="10"/>
  <c r="D171" i="10" s="1"/>
  <c r="E65" i="13"/>
  <c r="D182" i="10"/>
  <c r="E74" i="13"/>
  <c r="D74" i="13" s="1"/>
  <c r="F174" i="10"/>
  <c r="F169" i="10" s="1"/>
  <c r="D193" i="10"/>
  <c r="E85" i="13"/>
  <c r="D85" i="13" s="1"/>
  <c r="D197" i="10"/>
  <c r="E89" i="13"/>
  <c r="D208" i="10"/>
  <c r="E100" i="13"/>
  <c r="D100" i="13" s="1"/>
  <c r="D212" i="10"/>
  <c r="E104" i="13"/>
  <c r="D104" i="13" s="1"/>
  <c r="D155" i="5"/>
  <c r="E176" i="5"/>
  <c r="D176" i="5" s="1"/>
  <c r="D186" i="5"/>
  <c r="D193" i="5"/>
  <c r="E83" i="17"/>
  <c r="D83" i="17" s="1"/>
  <c r="G150" i="5"/>
  <c r="G193" i="5"/>
  <c r="H83" i="17"/>
  <c r="G83" i="17" s="1"/>
  <c r="H195" i="5"/>
  <c r="G195" i="5" s="1"/>
  <c r="G202" i="5"/>
  <c r="H92" i="17"/>
  <c r="D139" i="6"/>
  <c r="D155" i="6"/>
  <c r="G163" i="6"/>
  <c r="D176" i="6"/>
  <c r="D59" i="18"/>
  <c r="E57" i="18"/>
  <c r="D57" i="18" s="1"/>
  <c r="I179" i="6"/>
  <c r="D186" i="6"/>
  <c r="D190" i="6"/>
  <c r="D195" i="6"/>
  <c r="E79" i="18"/>
  <c r="D79" i="18" s="1"/>
  <c r="D81" i="18"/>
  <c r="G202" i="6"/>
  <c r="H82" i="18"/>
  <c r="G82" i="18" s="1"/>
  <c r="D210" i="6"/>
  <c r="D213" i="6"/>
  <c r="D65" i="30"/>
  <c r="E63" i="30"/>
  <c r="D63" i="30" s="1"/>
  <c r="D200" i="11"/>
  <c r="E83" i="30"/>
  <c r="D83" i="30" s="1"/>
  <c r="D202" i="11"/>
  <c r="E85" i="30"/>
  <c r="D85" i="30" s="1"/>
  <c r="D218" i="11"/>
  <c r="E101" i="30"/>
  <c r="D101" i="30" s="1"/>
  <c r="D183" i="10"/>
  <c r="E75" i="13"/>
  <c r="D75" i="13" s="1"/>
  <c r="E190" i="10"/>
  <c r="D198" i="10"/>
  <c r="E90" i="13"/>
  <c r="D90" i="13" s="1"/>
  <c r="D205" i="10"/>
  <c r="E97" i="13"/>
  <c r="D97" i="13" s="1"/>
  <c r="F66" i="13"/>
  <c r="D182" i="5"/>
  <c r="E69" i="17"/>
  <c r="D69" i="17" s="1"/>
  <c r="G203" i="5"/>
  <c r="H93" i="17"/>
  <c r="G93" i="17" s="1"/>
  <c r="F130" i="6"/>
  <c r="F127" i="6" s="1"/>
  <c r="F174" i="6"/>
  <c r="G178" i="6"/>
  <c r="H59" i="18"/>
  <c r="D192" i="6"/>
  <c r="E73" i="18"/>
  <c r="D73" i="18" s="1"/>
  <c r="E199" i="6"/>
  <c r="D199" i="6" s="1"/>
  <c r="G201" i="6"/>
  <c r="H81" i="18"/>
  <c r="D214" i="11"/>
  <c r="E97" i="30"/>
  <c r="D202" i="10"/>
  <c r="E94" i="13"/>
  <c r="D94" i="13" s="1"/>
  <c r="D134" i="5"/>
  <c r="E63" i="17"/>
  <c r="D63" i="17" s="1"/>
  <c r="D65" i="17"/>
  <c r="D196" i="5"/>
  <c r="E86" i="17"/>
  <c r="D86" i="17" s="1"/>
  <c r="G196" i="5"/>
  <c r="H86" i="17"/>
  <c r="G86" i="17" s="1"/>
  <c r="F178" i="11"/>
  <c r="D190" i="11"/>
  <c r="E73" i="30"/>
  <c r="D73" i="30" s="1"/>
  <c r="D89" i="30"/>
  <c r="F133" i="11"/>
  <c r="F130" i="11" s="1"/>
  <c r="D182" i="11"/>
  <c r="D207" i="11"/>
  <c r="E90" i="30"/>
  <c r="D90" i="30" s="1"/>
  <c r="D126" i="10"/>
  <c r="D184" i="10"/>
  <c r="D192" i="10"/>
  <c r="D210" i="10"/>
  <c r="D15" i="13"/>
  <c r="D150" i="5"/>
  <c r="D178" i="5"/>
  <c r="E200" i="5"/>
  <c r="D200" i="5" s="1"/>
  <c r="D92" i="17"/>
  <c r="E90" i="17"/>
  <c r="D90" i="17" s="1"/>
  <c r="D206" i="5"/>
  <c r="E96" i="17"/>
  <c r="D96" i="17" s="1"/>
  <c r="G178" i="5"/>
  <c r="G182" i="5"/>
  <c r="H69" i="17"/>
  <c r="G69" i="17" s="1"/>
  <c r="G191" i="5"/>
  <c r="H81" i="17"/>
  <c r="G81" i="17" s="1"/>
  <c r="G206" i="5"/>
  <c r="H96" i="17"/>
  <c r="G96" i="17" s="1"/>
  <c r="G211" i="5"/>
  <c r="H72" i="5"/>
  <c r="D150" i="6"/>
  <c r="D159" i="6"/>
  <c r="I174" i="6"/>
  <c r="G186" i="6"/>
  <c r="H67" i="18"/>
  <c r="G67" i="18" s="1"/>
  <c r="D188" i="6"/>
  <c r="G192" i="6"/>
  <c r="G195" i="6"/>
  <c r="H76" i="18"/>
  <c r="G76" i="18" s="1"/>
  <c r="D202" i="6"/>
  <c r="G210" i="6"/>
  <c r="H90" i="18"/>
  <c r="G90" i="18" s="1"/>
  <c r="G213" i="6"/>
  <c r="H93" i="18"/>
  <c r="G93" i="18" s="1"/>
  <c r="G210" i="5"/>
  <c r="H100" i="17"/>
  <c r="G100" i="17" s="1"/>
  <c r="G213" i="5"/>
  <c r="H103" i="17"/>
  <c r="G103" i="17" s="1"/>
  <c r="G215" i="5"/>
  <c r="G186" i="5"/>
  <c r="H75" i="17"/>
  <c r="G75" i="17" s="1"/>
  <c r="G189" i="5"/>
  <c r="D187" i="5"/>
  <c r="G190" i="6"/>
  <c r="H71" i="18"/>
  <c r="G71" i="18" s="1"/>
  <c r="G181" i="6"/>
  <c r="G185" i="6"/>
  <c r="H66" i="18"/>
  <c r="G66" i="18" s="1"/>
  <c r="G187" i="6"/>
  <c r="H68" i="18"/>
  <c r="G68" i="18" s="1"/>
  <c r="G188" i="6"/>
  <c r="H69" i="18"/>
  <c r="G193" i="6"/>
  <c r="G74" i="18"/>
  <c r="G72" i="18" s="1"/>
  <c r="H72" i="18"/>
  <c r="H191" i="6"/>
  <c r="G196" i="6"/>
  <c r="H77" i="18"/>
  <c r="G206" i="6"/>
  <c r="G211" i="6"/>
  <c r="H91" i="18"/>
  <c r="G91" i="18" s="1"/>
  <c r="G214" i="6"/>
  <c r="H94" i="18"/>
  <c r="G94" i="18" s="1"/>
  <c r="G216" i="6"/>
  <c r="H95" i="18"/>
  <c r="E207" i="6"/>
  <c r="D207" i="6" s="1"/>
  <c r="D214" i="6"/>
  <c r="D211" i="6"/>
  <c r="E87" i="18"/>
  <c r="D87" i="18" s="1"/>
  <c r="D91" i="18"/>
  <c r="D206" i="6"/>
  <c r="E86" i="18"/>
  <c r="D86" i="18" s="1"/>
  <c r="D205" i="6"/>
  <c r="E85" i="18"/>
  <c r="D77" i="18"/>
  <c r="E75" i="18"/>
  <c r="D75" i="18" s="1"/>
  <c r="E194" i="6"/>
  <c r="D194" i="6" s="1"/>
  <c r="D196" i="6"/>
  <c r="D193" i="6"/>
  <c r="E74" i="18"/>
  <c r="D191" i="6"/>
  <c r="E183" i="6"/>
  <c r="D183" i="6" s="1"/>
  <c r="D66" i="18"/>
  <c r="E64" i="18"/>
  <c r="D64" i="18" s="1"/>
  <c r="D182" i="6"/>
  <c r="E63" i="18"/>
  <c r="D63" i="18" s="1"/>
  <c r="D181" i="6"/>
  <c r="E62" i="18"/>
  <c r="E10" i="6"/>
  <c r="G217" i="5"/>
  <c r="H107" i="17"/>
  <c r="G107" i="17" s="1"/>
  <c r="G214" i="5"/>
  <c r="H104" i="17"/>
  <c r="G104" i="17" s="1"/>
  <c r="H208" i="5"/>
  <c r="G208" i="5" s="1"/>
  <c r="G212" i="5"/>
  <c r="H102" i="17"/>
  <c r="G198" i="5"/>
  <c r="H88" i="17"/>
  <c r="G88" i="17" s="1"/>
  <c r="G197" i="5"/>
  <c r="H87" i="17"/>
  <c r="G194" i="5"/>
  <c r="G192" i="5" s="1"/>
  <c r="H84" i="17"/>
  <c r="G188" i="5"/>
  <c r="H78" i="17"/>
  <c r="G78" i="17" s="1"/>
  <c r="G187" i="5"/>
  <c r="H77" i="17"/>
  <c r="G77" i="17" s="1"/>
  <c r="H183" i="5"/>
  <c r="G183" i="5" s="1"/>
  <c r="H73" i="17"/>
  <c r="G181" i="5"/>
  <c r="H68" i="17"/>
  <c r="D198" i="5"/>
  <c r="E88" i="17"/>
  <c r="D88" i="17" s="1"/>
  <c r="D197" i="5"/>
  <c r="E87" i="17"/>
  <c r="D194" i="5"/>
  <c r="D192" i="5" s="1"/>
  <c r="D189" i="5"/>
  <c r="D188" i="5"/>
  <c r="D185" i="5"/>
  <c r="E183" i="5"/>
  <c r="D183" i="5" s="1"/>
  <c r="D186" i="10"/>
  <c r="E78" i="13"/>
  <c r="D78" i="13" s="1"/>
  <c r="D209" i="10"/>
  <c r="E101" i="13"/>
  <c r="D101" i="13" s="1"/>
  <c r="D207" i="10"/>
  <c r="E99" i="13"/>
  <c r="D99" i="13" s="1"/>
  <c r="D98" i="13"/>
  <c r="D206" i="10"/>
  <c r="D201" i="10"/>
  <c r="E93" i="13"/>
  <c r="D93" i="13" s="1"/>
  <c r="D191" i="10"/>
  <c r="E83" i="13"/>
  <c r="D188" i="10"/>
  <c r="E80" i="13"/>
  <c r="D177" i="10"/>
  <c r="E69" i="13"/>
  <c r="D69" i="13" s="1"/>
  <c r="D221" i="11"/>
  <c r="E104" i="30"/>
  <c r="D104" i="30" s="1"/>
  <c r="D219" i="11"/>
  <c r="E102" i="30"/>
  <c r="D216" i="11"/>
  <c r="E99" i="30"/>
  <c r="D211" i="11"/>
  <c r="E94" i="30"/>
  <c r="D94" i="30" s="1"/>
  <c r="D210" i="11"/>
  <c r="E93" i="30"/>
  <c r="D201" i="11"/>
  <c r="E84" i="30"/>
  <c r="D198" i="11"/>
  <c r="D196" i="11" s="1"/>
  <c r="E81" i="30"/>
  <c r="D195" i="11"/>
  <c r="E78" i="30"/>
  <c r="D78" i="30" s="1"/>
  <c r="D192" i="11"/>
  <c r="E75" i="30"/>
  <c r="D75" i="30" s="1"/>
  <c r="D191" i="11"/>
  <c r="E74" i="30"/>
  <c r="D74" i="30" s="1"/>
  <c r="D72" i="30"/>
  <c r="D189" i="11"/>
  <c r="D186" i="11"/>
  <c r="E69" i="30"/>
  <c r="D69" i="30" s="1"/>
  <c r="D185" i="11"/>
  <c r="E68" i="30"/>
  <c r="F61" i="13"/>
  <c r="D34" i="13"/>
  <c r="I130" i="6"/>
  <c r="I127" i="6" s="1"/>
  <c r="E191" i="6"/>
  <c r="E203" i="6"/>
  <c r="D203" i="6" s="1"/>
  <c r="H130" i="6"/>
  <c r="H159" i="6"/>
  <c r="G159" i="6" s="1"/>
  <c r="H176" i="6"/>
  <c r="H183" i="6"/>
  <c r="H194" i="6"/>
  <c r="G194" i="6" s="1"/>
  <c r="H207" i="6"/>
  <c r="E73" i="6"/>
  <c r="H73" i="6"/>
  <c r="H200" i="5"/>
  <c r="G200" i="5" s="1"/>
  <c r="H192" i="5"/>
  <c r="H159" i="5"/>
  <c r="G159" i="5" s="1"/>
  <c r="H134" i="5"/>
  <c r="D18" i="13"/>
  <c r="F18" i="13"/>
  <c r="F13" i="13" s="1"/>
  <c r="F10" i="13" s="1"/>
  <c r="D145" i="10"/>
  <c r="D173" i="10"/>
  <c r="E178" i="10"/>
  <c r="D178" i="10" s="1"/>
  <c r="D190" i="10"/>
  <c r="E203" i="10"/>
  <c r="D203" i="10" s="1"/>
  <c r="F129" i="10"/>
  <c r="D129" i="10" s="1"/>
  <c r="D142" i="10"/>
  <c r="D158" i="10"/>
  <c r="D151" i="11"/>
  <c r="E212" i="11"/>
  <c r="D212" i="11" s="1"/>
  <c r="D138" i="11"/>
  <c r="E199" i="11"/>
  <c r="D199" i="11" s="1"/>
  <c r="E72" i="5"/>
  <c r="D131" i="5"/>
  <c r="D147" i="5"/>
  <c r="E195" i="5"/>
  <c r="D195" i="5" s="1"/>
  <c r="D138" i="5"/>
  <c r="E129" i="5"/>
  <c r="D181" i="5"/>
  <c r="E192" i="5"/>
  <c r="E159" i="5"/>
  <c r="D159" i="5" s="1"/>
  <c r="D22" i="13"/>
  <c r="E46" i="13"/>
  <c r="D46" i="13" s="1"/>
  <c r="E124" i="10"/>
  <c r="E187" i="10"/>
  <c r="E154" i="10"/>
  <c r="D154" i="10" s="1"/>
  <c r="E133" i="11"/>
  <c r="E196" i="11"/>
  <c r="E204" i="11"/>
  <c r="D204" i="11" s="1"/>
  <c r="E187" i="11"/>
  <c r="D187" i="11" s="1"/>
  <c r="D163" i="11"/>
  <c r="H22" i="5" l="1"/>
  <c r="H20" i="5" s="1"/>
  <c r="H9" i="5" s="1"/>
  <c r="E70" i="17"/>
  <c r="D70" i="17" s="1"/>
  <c r="D97" i="30"/>
  <c r="E95" i="30"/>
  <c r="D95" i="30" s="1"/>
  <c r="E87" i="30"/>
  <c r="D87" i="30" s="1"/>
  <c r="H179" i="5"/>
  <c r="G179" i="5" s="1"/>
  <c r="E179" i="5"/>
  <c r="D179" i="5" s="1"/>
  <c r="D102" i="30"/>
  <c r="D187" i="10"/>
  <c r="E174" i="10"/>
  <c r="D174" i="10" s="1"/>
  <c r="E208" i="11"/>
  <c r="D208" i="11" s="1"/>
  <c r="F124" i="10"/>
  <c r="F121" i="10" s="1"/>
  <c r="E179" i="6"/>
  <c r="D179" i="6" s="1"/>
  <c r="G191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4" i="5"/>
  <c r="G204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3" i="6"/>
  <c r="H179" i="6"/>
  <c r="G179" i="6" s="1"/>
  <c r="G176" i="6"/>
  <c r="E130" i="6"/>
  <c r="D135" i="6"/>
  <c r="G207" i="6"/>
  <c r="H203" i="6"/>
  <c r="G203" i="6" s="1"/>
  <c r="G135" i="6"/>
  <c r="G130" i="6"/>
  <c r="E27" i="6"/>
  <c r="E25" i="6" s="1"/>
  <c r="E9" i="6" s="1"/>
  <c r="G134" i="5"/>
  <c r="H129" i="5"/>
  <c r="E199" i="10"/>
  <c r="D199" i="10" s="1"/>
  <c r="E183" i="11"/>
  <c r="D183" i="11" s="1"/>
  <c r="D129" i="5"/>
  <c r="D133" i="11"/>
  <c r="E174" i="6" l="1"/>
  <c r="D174" i="6" s="1"/>
  <c r="E66" i="17"/>
  <c r="D66" i="17" s="1"/>
  <c r="D70" i="30"/>
  <c r="E66" i="30"/>
  <c r="D66" i="30" s="1"/>
  <c r="D124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4" i="5"/>
  <c r="G174" i="5" s="1"/>
  <c r="E91" i="13"/>
  <c r="D91" i="13" s="1"/>
  <c r="E169" i="10"/>
  <c r="D169" i="10" s="1"/>
  <c r="E91" i="30"/>
  <c r="D91" i="30" s="1"/>
  <c r="E178" i="11"/>
  <c r="D178" i="11" s="1"/>
  <c r="D13" i="13"/>
  <c r="H174" i="6"/>
  <c r="E127" i="6"/>
  <c r="D127" i="6" s="1"/>
  <c r="L127" i="6" s="1"/>
  <c r="M127" i="6" s="1"/>
  <c r="D130" i="6"/>
  <c r="G129" i="5"/>
  <c r="E174" i="5"/>
  <c r="E121" i="10" l="1"/>
  <c r="D121" i="10" s="1"/>
  <c r="I121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6" i="5"/>
  <c r="G126" i="5" s="1"/>
  <c r="O126" i="5" s="1"/>
  <c r="P126" i="5" s="1"/>
  <c r="H61" i="17"/>
  <c r="G61" i="17" s="1"/>
  <c r="E130" i="11"/>
  <c r="D130" i="11" s="1"/>
  <c r="E61" i="30"/>
  <c r="E10" i="30" s="1"/>
  <c r="G174" i="6"/>
  <c r="H127" i="6"/>
  <c r="G127" i="6" s="1"/>
  <c r="O127" i="6" s="1"/>
  <c r="P127" i="6" s="1"/>
  <c r="D174" i="5"/>
  <c r="D10" i="30" l="1"/>
  <c r="E9" i="30"/>
  <c r="D9" i="30" s="1"/>
  <c r="E10" i="13"/>
  <c r="D10" i="13" s="1"/>
  <c r="H10" i="18"/>
  <c r="G10" i="18" s="1"/>
  <c r="H10" i="17"/>
  <c r="D61" i="30"/>
  <c r="H126" i="9"/>
  <c r="E215" i="9"/>
  <c r="E101" i="1" s="1"/>
  <c r="E216" i="9"/>
  <c r="E102" i="1" s="1"/>
  <c r="E217" i="9"/>
  <c r="E218" i="9"/>
  <c r="E104" i="1" s="1"/>
  <c r="E105" i="1"/>
  <c r="E221" i="9"/>
  <c r="E107" i="1" s="1"/>
  <c r="E214" i="9"/>
  <c r="E100" i="1" s="1"/>
  <c r="E211" i="9"/>
  <c r="E97" i="1" s="1"/>
  <c r="E210" i="9"/>
  <c r="E96" i="1" s="1"/>
  <c r="E207" i="9"/>
  <c r="E93" i="1" s="1"/>
  <c r="G10" i="17" l="1"/>
  <c r="H9" i="17"/>
  <c r="G9" i="17" s="1"/>
  <c r="E103" i="1"/>
  <c r="E98" i="1" s="1"/>
  <c r="E94" i="1" s="1"/>
  <c r="E212" i="9"/>
  <c r="E206" i="9"/>
  <c r="E200" i="9"/>
  <c r="E86" i="1" s="1"/>
  <c r="E197" i="9"/>
  <c r="D198" i="9"/>
  <c r="E195" i="9"/>
  <c r="E189" i="9"/>
  <c r="E191" i="9"/>
  <c r="E77" i="1" s="1"/>
  <c r="E192" i="9"/>
  <c r="E193" i="9"/>
  <c r="E187" i="9"/>
  <c r="E74" i="1" s="1"/>
  <c r="D74" i="1" s="1"/>
  <c r="E184" i="9"/>
  <c r="E69" i="1" s="1"/>
  <c r="E68" i="1"/>
  <c r="E180" i="9"/>
  <c r="D221" i="9"/>
  <c r="D218" i="9"/>
  <c r="D217" i="9"/>
  <c r="D216" i="9"/>
  <c r="D215" i="9"/>
  <c r="D214" i="9"/>
  <c r="F212" i="9"/>
  <c r="F208" i="9" s="1"/>
  <c r="D211" i="9"/>
  <c r="D210" i="9"/>
  <c r="D207" i="9"/>
  <c r="D206" i="9"/>
  <c r="D205" i="9"/>
  <c r="F204" i="9"/>
  <c r="F199" i="9"/>
  <c r="F196" i="9"/>
  <c r="F185" i="9"/>
  <c r="F178" i="9"/>
  <c r="D174" i="9"/>
  <c r="D171" i="9"/>
  <c r="D170" i="9"/>
  <c r="D169" i="9"/>
  <c r="D168" i="9"/>
  <c r="D167" i="9"/>
  <c r="F165" i="9"/>
  <c r="D164" i="9"/>
  <c r="D163" i="9"/>
  <c r="F161" i="9"/>
  <c r="D160" i="9"/>
  <c r="D159" i="9"/>
  <c r="D158" i="9"/>
  <c r="F157" i="9"/>
  <c r="E157" i="9"/>
  <c r="D155" i="9"/>
  <c r="D154" i="9"/>
  <c r="D153" i="9"/>
  <c r="F152" i="9"/>
  <c r="E152" i="9"/>
  <c r="D152" i="9" s="1"/>
  <c r="D151" i="9"/>
  <c r="D150" i="9"/>
  <c r="F149" i="9"/>
  <c r="E149" i="9"/>
  <c r="D148" i="9"/>
  <c r="D146" i="9"/>
  <c r="D145" i="9"/>
  <c r="D144" i="9"/>
  <c r="D142" i="9"/>
  <c r="D140" i="9"/>
  <c r="F138" i="9"/>
  <c r="F134" i="9" s="1"/>
  <c r="E138" i="9"/>
  <c r="D137" i="9"/>
  <c r="D136" i="9"/>
  <c r="D133" i="9"/>
  <c r="F131" i="9"/>
  <c r="E131" i="9"/>
  <c r="D125" i="9"/>
  <c r="E134" i="9" l="1"/>
  <c r="D134" i="9" s="1"/>
  <c r="D184" i="9"/>
  <c r="D191" i="9"/>
  <c r="D195" i="9"/>
  <c r="E81" i="1"/>
  <c r="E178" i="9"/>
  <c r="E65" i="1"/>
  <c r="D157" i="9"/>
  <c r="D197" i="9"/>
  <c r="E83" i="1"/>
  <c r="E204" i="9"/>
  <c r="D204" i="9" s="1"/>
  <c r="E92" i="1"/>
  <c r="D189" i="9"/>
  <c r="E75" i="1"/>
  <c r="D202" i="9"/>
  <c r="E88" i="1"/>
  <c r="D201" i="9"/>
  <c r="E87" i="1"/>
  <c r="E196" i="9"/>
  <c r="E84" i="1"/>
  <c r="D193" i="9"/>
  <c r="E79" i="1"/>
  <c r="D192" i="9"/>
  <c r="E78" i="1"/>
  <c r="D187" i="9"/>
  <c r="E73" i="1"/>
  <c r="D183" i="9"/>
  <c r="D165" i="9"/>
  <c r="D131" i="9"/>
  <c r="D180" i="9"/>
  <c r="E161" i="9"/>
  <c r="D161" i="9" s="1"/>
  <c r="D212" i="9"/>
  <c r="D196" i="9"/>
  <c r="D178" i="9"/>
  <c r="F129" i="9"/>
  <c r="F126" i="9" s="1"/>
  <c r="D149" i="9"/>
  <c r="E185" i="9"/>
  <c r="D185" i="9" s="1"/>
  <c r="E199" i="9"/>
  <c r="D199" i="9" s="1"/>
  <c r="D200" i="9"/>
  <c r="F181" i="9"/>
  <c r="F176" i="9" s="1"/>
  <c r="D138" i="9"/>
  <c r="E208" i="9"/>
  <c r="D208" i="9" s="1"/>
  <c r="E70" i="1" l="1"/>
  <c r="E129" i="9"/>
  <c r="D129" i="9" s="1"/>
  <c r="E181" i="9"/>
  <c r="E176" i="9" s="1"/>
  <c r="E126" i="9" l="1"/>
  <c r="D126" i="9" s="1"/>
  <c r="I126" i="9" s="1"/>
  <c r="D181" i="9"/>
  <c r="D176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13" i="1" l="1"/>
  <c r="D61" i="1"/>
  <c r="E10" i="1"/>
  <c r="E9" i="1" s="1"/>
  <c r="D9" i="1" s="1"/>
  <c r="D18" i="1"/>
  <c r="G112" i="6" l="1"/>
  <c r="F94" i="27" s="1"/>
  <c r="D112" i="6"/>
  <c r="F94" i="26" s="1"/>
  <c r="G111" i="6"/>
  <c r="F93" i="27" s="1"/>
  <c r="D111" i="6"/>
  <c r="F93" i="26" s="1"/>
  <c r="G110" i="6"/>
  <c r="F92" i="27" s="1"/>
  <c r="D110" i="6"/>
  <c r="F92" i="26" s="1"/>
  <c r="I108" i="6"/>
  <c r="G108" i="6"/>
  <c r="F108" i="6"/>
  <c r="D108" i="6" s="1"/>
  <c r="G107" i="6"/>
  <c r="F394" i="27" s="1"/>
  <c r="D107" i="6"/>
  <c r="F394" i="26" s="1"/>
  <c r="G105" i="6"/>
  <c r="F392" i="27" s="1"/>
  <c r="D105" i="6"/>
  <c r="F392" i="26" s="1"/>
  <c r="G104" i="6"/>
  <c r="F390" i="27" s="1"/>
  <c r="D104" i="6"/>
  <c r="F390" i="26" s="1"/>
  <c r="G103" i="6"/>
  <c r="F388" i="27" s="1"/>
  <c r="D103" i="6"/>
  <c r="F388" i="26" s="1"/>
  <c r="G102" i="6"/>
  <c r="F386" i="27" s="1"/>
  <c r="D102" i="6"/>
  <c r="F386" i="26" s="1"/>
  <c r="G101" i="6"/>
  <c r="F384" i="27" s="1"/>
  <c r="D101" i="6"/>
  <c r="F384" i="26" s="1"/>
  <c r="G100" i="6"/>
  <c r="F382" i="27" s="1"/>
  <c r="D100" i="6"/>
  <c r="F382" i="26" s="1"/>
  <c r="I94" i="6"/>
  <c r="G94" i="6" s="1"/>
  <c r="F94" i="6"/>
  <c r="D94" i="6" s="1"/>
  <c r="G97" i="6"/>
  <c r="F372" i="27" s="1"/>
  <c r="D97" i="6"/>
  <c r="F372" i="26" s="1"/>
  <c r="G96" i="6"/>
  <c r="F363" i="27" s="1"/>
  <c r="D96" i="6"/>
  <c r="F363" i="26" s="1"/>
  <c r="G93" i="6"/>
  <c r="F247" i="27" s="1"/>
  <c r="D93" i="6"/>
  <c r="F247" i="26" s="1"/>
  <c r="G90" i="6"/>
  <c r="F355" i="27" s="1"/>
  <c r="D90" i="6"/>
  <c r="F355" i="26" s="1"/>
  <c r="G88" i="6"/>
  <c r="F245" i="27" s="1"/>
  <c r="D88" i="6"/>
  <c r="F245" i="26" s="1"/>
  <c r="G86" i="6"/>
  <c r="F230" i="27" s="1"/>
  <c r="D86" i="6"/>
  <c r="F230" i="26" s="1"/>
  <c r="G85" i="6"/>
  <c r="F223" i="27" s="1"/>
  <c r="D85" i="6"/>
  <c r="F223" i="26" s="1"/>
  <c r="G84" i="6"/>
  <c r="F216" i="27" s="1"/>
  <c r="D84" i="6"/>
  <c r="F216" i="26" s="1"/>
  <c r="G83" i="6"/>
  <c r="F353" i="27" s="1"/>
  <c r="D83" i="6"/>
  <c r="F353" i="26" s="1"/>
  <c r="I82" i="6"/>
  <c r="G82" i="6" s="1"/>
  <c r="F82" i="6"/>
  <c r="D82" i="6" s="1"/>
  <c r="G81" i="6"/>
  <c r="F243" i="27" s="1"/>
  <c r="D81" i="6"/>
  <c r="F243" i="26" s="1"/>
  <c r="G80" i="6"/>
  <c r="F241" i="27" s="1"/>
  <c r="D80" i="6"/>
  <c r="F241" i="26" s="1"/>
  <c r="G79" i="6"/>
  <c r="F239" i="27" s="1"/>
  <c r="D79" i="6"/>
  <c r="F239" i="26" s="1"/>
  <c r="G78" i="6"/>
  <c r="F207" i="27" s="1"/>
  <c r="D78" i="6"/>
  <c r="F207" i="26" s="1"/>
  <c r="G77" i="6"/>
  <c r="F200" i="27" s="1"/>
  <c r="D77" i="6"/>
  <c r="F200" i="26" s="1"/>
  <c r="G76" i="6"/>
  <c r="F193" i="27" s="1"/>
  <c r="D76" i="6"/>
  <c r="F193" i="26" s="1"/>
  <c r="I75" i="6"/>
  <c r="G75" i="6" s="1"/>
  <c r="F75" i="6"/>
  <c r="D75" i="6" s="1"/>
  <c r="G74" i="6"/>
  <c r="D74" i="6"/>
  <c r="G72" i="6"/>
  <c r="F177" i="27" s="1"/>
  <c r="D72" i="6"/>
  <c r="F177" i="26" s="1"/>
  <c r="G70" i="6"/>
  <c r="D70" i="6"/>
  <c r="G69" i="6"/>
  <c r="F171" i="27" s="1"/>
  <c r="D69" i="6"/>
  <c r="F171" i="26" s="1"/>
  <c r="I68" i="6"/>
  <c r="G64" i="6" s="1"/>
  <c r="F68" i="6"/>
  <c r="D68" i="6" s="1"/>
  <c r="G66" i="6"/>
  <c r="F185" i="27" s="1"/>
  <c r="D66" i="6"/>
  <c r="F185" i="26" s="1"/>
  <c r="G61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11" i="5"/>
  <c r="G110" i="5"/>
  <c r="G109" i="5"/>
  <c r="I107" i="5"/>
  <c r="G107" i="5" s="1"/>
  <c r="G106" i="5"/>
  <c r="G104" i="5"/>
  <c r="G103" i="5"/>
  <c r="G102" i="5"/>
  <c r="G101" i="5"/>
  <c r="G100" i="5"/>
  <c r="G99" i="5"/>
  <c r="I97" i="5"/>
  <c r="I93" i="5" s="1"/>
  <c r="G96" i="5"/>
  <c r="G95" i="5"/>
  <c r="G87" i="5"/>
  <c r="G85" i="5"/>
  <c r="G84" i="5"/>
  <c r="G83" i="5"/>
  <c r="G82" i="5"/>
  <c r="I81" i="5"/>
  <c r="G81" i="5" s="1"/>
  <c r="G80" i="5"/>
  <c r="G79" i="5"/>
  <c r="G78" i="5"/>
  <c r="G77" i="5"/>
  <c r="G76" i="5"/>
  <c r="G75" i="5"/>
  <c r="I74" i="5"/>
  <c r="G74" i="5" s="1"/>
  <c r="G73" i="5"/>
  <c r="G71" i="5"/>
  <c r="G69" i="5"/>
  <c r="G68" i="5"/>
  <c r="I67" i="5"/>
  <c r="G65" i="5"/>
  <c r="G60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11" i="5"/>
  <c r="D110" i="5"/>
  <c r="D109" i="5"/>
  <c r="F107" i="5"/>
  <c r="D107" i="5" s="1"/>
  <c r="F97" i="5"/>
  <c r="F93" i="5" s="1"/>
  <c r="D96" i="5"/>
  <c r="D95" i="5"/>
  <c r="D89" i="5"/>
  <c r="D87" i="5"/>
  <c r="D85" i="5"/>
  <c r="D84" i="5"/>
  <c r="D83" i="5"/>
  <c r="D82" i="5"/>
  <c r="F81" i="5"/>
  <c r="D81" i="5" s="1"/>
  <c r="D80" i="5"/>
  <c r="D79" i="5"/>
  <c r="D78" i="5"/>
  <c r="D77" i="5"/>
  <c r="F155" i="33" s="1"/>
  <c r="D76" i="5"/>
  <c r="F149" i="33" s="1"/>
  <c r="D75" i="5"/>
  <c r="F74" i="5"/>
  <c r="D73" i="5"/>
  <c r="D71" i="5"/>
  <c r="D69" i="5"/>
  <c r="D68" i="5"/>
  <c r="F135" i="33" s="1"/>
  <c r="F67" i="5"/>
  <c r="D67" i="5" s="1"/>
  <c r="D65" i="5"/>
  <c r="D60" i="5"/>
  <c r="E270" i="33" s="1"/>
  <c r="D58" i="5"/>
  <c r="D57" i="5"/>
  <c r="D56" i="5"/>
  <c r="D55" i="5"/>
  <c r="D54" i="5"/>
  <c r="F53" i="5"/>
  <c r="D53" i="5" s="1"/>
  <c r="D52" i="5"/>
  <c r="F237" i="33" s="1"/>
  <c r="D51" i="5"/>
  <c r="F50" i="5"/>
  <c r="D49" i="5"/>
  <c r="D47" i="5"/>
  <c r="F184" i="33" s="1"/>
  <c r="D46" i="5"/>
  <c r="F182" i="33" s="1"/>
  <c r="D45" i="5"/>
  <c r="F180" i="33" s="1"/>
  <c r="D43" i="5"/>
  <c r="F178" i="33" s="1"/>
  <c r="D41" i="5"/>
  <c r="F177" i="33" s="1"/>
  <c r="F38" i="5"/>
  <c r="D38" i="5" s="1"/>
  <c r="D37" i="5"/>
  <c r="D36" i="5"/>
  <c r="F35" i="5"/>
  <c r="D35" i="5" s="1"/>
  <c r="D34" i="5"/>
  <c r="F169" i="33" s="1"/>
  <c r="D30" i="5"/>
  <c r="F29" i="5"/>
  <c r="D106" i="10"/>
  <c r="D105" i="10"/>
  <c r="D104" i="10"/>
  <c r="F102" i="10"/>
  <c r="E102" i="10"/>
  <c r="D101" i="10"/>
  <c r="D98" i="10"/>
  <c r="D97" i="10"/>
  <c r="D96" i="10"/>
  <c r="D95" i="10"/>
  <c r="D94" i="10"/>
  <c r="F92" i="10"/>
  <c r="F88" i="10" s="1"/>
  <c r="E88" i="10"/>
  <c r="D91" i="10"/>
  <c r="D90" i="10"/>
  <c r="D87" i="10"/>
  <c r="D82" i="10"/>
  <c r="D80" i="10"/>
  <c r="D79" i="10"/>
  <c r="D78" i="10"/>
  <c r="D77" i="10"/>
  <c r="F76" i="10"/>
  <c r="D75" i="10"/>
  <c r="D74" i="10"/>
  <c r="D73" i="10"/>
  <c r="D72" i="10"/>
  <c r="D71" i="10"/>
  <c r="D70" i="10"/>
  <c r="F69" i="10"/>
  <c r="E69" i="10"/>
  <c r="D68" i="10"/>
  <c r="D66" i="10"/>
  <c r="D64" i="10"/>
  <c r="D63" i="10"/>
  <c r="F62" i="10"/>
  <c r="D60" i="10"/>
  <c r="D54" i="10"/>
  <c r="D53" i="10"/>
  <c r="D52" i="10"/>
  <c r="D51" i="10"/>
  <c r="D50" i="10"/>
  <c r="F49" i="10"/>
  <c r="E28" i="10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5" i="11"/>
  <c r="D114" i="11"/>
  <c r="D113" i="11"/>
  <c r="F111" i="11"/>
  <c r="E111" i="11"/>
  <c r="D110" i="11"/>
  <c r="F139" i="15" s="1"/>
  <c r="F136" i="15"/>
  <c r="D107" i="11"/>
  <c r="F134" i="15" s="1"/>
  <c r="D106" i="11"/>
  <c r="F132" i="15" s="1"/>
  <c r="D105" i="11"/>
  <c r="F130" i="15" s="1"/>
  <c r="D104" i="11"/>
  <c r="F128" i="15" s="1"/>
  <c r="D103" i="11"/>
  <c r="F126" i="15" s="1"/>
  <c r="F101" i="11"/>
  <c r="F97" i="11" s="1"/>
  <c r="E97" i="11"/>
  <c r="D100" i="11"/>
  <c r="D99" i="11"/>
  <c r="F116" i="15" s="1"/>
  <c r="D96" i="11"/>
  <c r="D93" i="11"/>
  <c r="D91" i="11"/>
  <c r="D89" i="11"/>
  <c r="D88" i="11"/>
  <c r="D87" i="11"/>
  <c r="D86" i="11"/>
  <c r="F85" i="11"/>
  <c r="D84" i="11"/>
  <c r="D83" i="11"/>
  <c r="D82" i="11"/>
  <c r="D81" i="11"/>
  <c r="D80" i="11"/>
  <c r="F64" i="15" s="1"/>
  <c r="D79" i="11"/>
  <c r="F78" i="11"/>
  <c r="E78" i="11"/>
  <c r="D77" i="11"/>
  <c r="D75" i="11"/>
  <c r="D73" i="11"/>
  <c r="D72" i="11"/>
  <c r="F71" i="11"/>
  <c r="E71" i="11"/>
  <c r="D69" i="11"/>
  <c r="D65" i="11"/>
  <c r="D63" i="11"/>
  <c r="F97" i="15" s="1"/>
  <c r="D62" i="11"/>
  <c r="D61" i="11"/>
  <c r="D60" i="11"/>
  <c r="D59" i="11"/>
  <c r="F50" i="15" s="1"/>
  <c r="C50" i="15" s="1"/>
  <c r="F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17" i="15" l="1"/>
  <c r="F142" i="33"/>
  <c r="F142" i="24"/>
  <c r="F186" i="33"/>
  <c r="F169" i="24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2" i="5"/>
  <c r="D72" i="5" s="1"/>
  <c r="F177" i="24"/>
  <c r="E37" i="11"/>
  <c r="D71" i="11"/>
  <c r="D111" i="11"/>
  <c r="D34" i="10"/>
  <c r="D49" i="10"/>
  <c r="D50" i="5"/>
  <c r="E76" i="11"/>
  <c r="D62" i="10"/>
  <c r="D102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8" i="6"/>
  <c r="D51" i="6"/>
  <c r="F73" i="6"/>
  <c r="D73" i="6" s="1"/>
  <c r="F29" i="6"/>
  <c r="G37" i="6"/>
  <c r="G98" i="6"/>
  <c r="G68" i="6"/>
  <c r="I73" i="6"/>
  <c r="G73" i="6" s="1"/>
  <c r="G51" i="6"/>
  <c r="D74" i="5"/>
  <c r="I72" i="5"/>
  <c r="G72" i="5" s="1"/>
  <c r="G50" i="5"/>
  <c r="D92" i="10"/>
  <c r="D25" i="10"/>
  <c r="D31" i="10"/>
  <c r="D88" i="10"/>
  <c r="F28" i="10"/>
  <c r="D69" i="10"/>
  <c r="D76" i="10"/>
  <c r="D34" i="11"/>
  <c r="D40" i="11"/>
  <c r="D58" i="11"/>
  <c r="F76" i="11"/>
  <c r="F27" i="11" s="1"/>
  <c r="F25" i="11" s="1"/>
  <c r="F37" i="11"/>
  <c r="D78" i="11"/>
  <c r="G35" i="5"/>
  <c r="G67" i="5"/>
  <c r="F32" i="5"/>
  <c r="F27" i="5" s="1"/>
  <c r="D27" i="5" s="1"/>
  <c r="F127" i="33" s="1"/>
  <c r="G29" i="5"/>
  <c r="F63" i="5"/>
  <c r="D63" i="5" s="1"/>
  <c r="I32" i="5"/>
  <c r="I28" i="5" s="1"/>
  <c r="G28" i="5" s="1"/>
  <c r="I63" i="5"/>
  <c r="G63" i="5" s="1"/>
  <c r="G97" i="5"/>
  <c r="D55" i="11"/>
  <c r="G93" i="5"/>
  <c r="E20" i="10"/>
  <c r="D28" i="10"/>
  <c r="D97" i="11"/>
  <c r="D43" i="11"/>
  <c r="D101" i="11"/>
  <c r="D29" i="11"/>
  <c r="F186" i="24" l="1"/>
  <c r="F127" i="24"/>
  <c r="F42" i="15"/>
  <c r="I26" i="5"/>
  <c r="G26" i="5" s="1"/>
  <c r="I27" i="5"/>
  <c r="G27" i="5" s="1"/>
  <c r="D32" i="5"/>
  <c r="F28" i="5"/>
  <c r="F18" i="10"/>
  <c r="F16" i="10" s="1"/>
  <c r="D76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3" s="1"/>
  <c r="F119" i="33" s="1"/>
  <c r="F24" i="5"/>
  <c r="D16" i="10"/>
  <c r="J121" i="10"/>
  <c r="D25" i="11"/>
  <c r="J130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11" i="9"/>
  <c r="D110" i="9"/>
  <c r="D109" i="9"/>
  <c r="F107" i="9"/>
  <c r="E107" i="9"/>
  <c r="D106" i="9"/>
  <c r="F337" i="28" s="1"/>
  <c r="D104" i="9"/>
  <c r="F319" i="28" s="1"/>
  <c r="D103" i="9"/>
  <c r="F315" i="28" s="1"/>
  <c r="D102" i="9"/>
  <c r="F313" i="28" s="1"/>
  <c r="D101" i="9"/>
  <c r="F311" i="28" s="1"/>
  <c r="D100" i="9"/>
  <c r="F309" i="28" s="1"/>
  <c r="D99" i="9"/>
  <c r="F307" i="28" s="1"/>
  <c r="F97" i="9"/>
  <c r="E93" i="9"/>
  <c r="D96" i="9"/>
  <c r="F298" i="28" s="1"/>
  <c r="D95" i="9"/>
  <c r="D92" i="9"/>
  <c r="D89" i="9"/>
  <c r="D87" i="9"/>
  <c r="D85" i="9"/>
  <c r="D84" i="9"/>
  <c r="D83" i="9"/>
  <c r="D82" i="9"/>
  <c r="F81" i="9"/>
  <c r="E81" i="9"/>
  <c r="D77" i="9"/>
  <c r="F177" i="28" s="1"/>
  <c r="D76" i="9"/>
  <c r="F171" i="28" s="1"/>
  <c r="D75" i="9"/>
  <c r="F164" i="28" s="1"/>
  <c r="F74" i="9"/>
  <c r="E74" i="9"/>
  <c r="D73" i="9"/>
  <c r="D68" i="9"/>
  <c r="F149" i="28" s="1"/>
  <c r="D149" i="28" s="1"/>
  <c r="F67" i="9"/>
  <c r="F63" i="9" s="1"/>
  <c r="D60" i="9"/>
  <c r="E287" i="28" s="1"/>
  <c r="D58" i="9"/>
  <c r="F279" i="28" s="1"/>
  <c r="D57" i="9"/>
  <c r="D55" i="9"/>
  <c r="D54" i="9"/>
  <c r="F260" i="28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2" i="9"/>
  <c r="E72" i="9"/>
  <c r="D17" i="11"/>
  <c r="D24" i="9"/>
  <c r="D107" i="9"/>
  <c r="D35" i="9"/>
  <c r="F10" i="9"/>
  <c r="D50" i="9"/>
  <c r="D81" i="9"/>
  <c r="D79" i="9"/>
  <c r="D97" i="9"/>
  <c r="D67" i="9"/>
  <c r="B125" i="28" s="1"/>
  <c r="D53" i="9"/>
  <c r="F32" i="9"/>
  <c r="D71" i="9"/>
  <c r="D80" i="9"/>
  <c r="D16" i="9"/>
  <c r="D38" i="9"/>
  <c r="D65" i="9"/>
  <c r="D78" i="9"/>
  <c r="D74" i="9"/>
  <c r="F93" i="9"/>
  <c r="D93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2" i="9"/>
  <c r="D21" i="11"/>
  <c r="F10" i="11"/>
  <c r="F9" i="11" s="1"/>
  <c r="D9" i="11" s="1"/>
  <c r="D12" i="10"/>
  <c r="D10" i="11" l="1"/>
  <c r="J126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3" i="5"/>
  <c r="E103" i="17" s="1"/>
  <c r="D103" i="17" s="1"/>
  <c r="D106" i="5"/>
  <c r="E217" i="5"/>
  <c r="E107" i="17" s="1"/>
  <c r="D107" i="17" s="1"/>
  <c r="D102" i="5"/>
  <c r="D100" i="5"/>
  <c r="E211" i="5"/>
  <c r="D211" i="5" s="1"/>
  <c r="D103" i="5"/>
  <c r="E214" i="5"/>
  <c r="E104" i="17" s="1"/>
  <c r="D104" i="17" s="1"/>
  <c r="D101" i="5"/>
  <c r="E212" i="5"/>
  <c r="E102" i="17" s="1"/>
  <c r="D102" i="17" s="1"/>
  <c r="E210" i="5"/>
  <c r="E100" i="17" s="1"/>
  <c r="D104" i="5"/>
  <c r="E215" i="5"/>
  <c r="D215" i="5" s="1"/>
  <c r="D99" i="5"/>
  <c r="D97" i="5"/>
  <c r="E93" i="5"/>
  <c r="E20" i="5" s="1"/>
  <c r="F309" i="24" l="1"/>
  <c r="F288" i="24"/>
  <c r="F280" i="24"/>
  <c r="F284" i="24"/>
  <c r="F282" i="24"/>
  <c r="F292" i="24"/>
  <c r="F286" i="24"/>
  <c r="E105" i="17"/>
  <c r="D105" i="17" s="1"/>
  <c r="D214" i="5"/>
  <c r="E101" i="17"/>
  <c r="D101" i="17" s="1"/>
  <c r="D212" i="5"/>
  <c r="D213" i="5"/>
  <c r="D210" i="5"/>
  <c r="E208" i="5"/>
  <c r="D208" i="5" s="1"/>
  <c r="D100" i="17"/>
  <c r="D20" i="5"/>
  <c r="E9" i="5"/>
  <c r="D9" i="5" s="1"/>
  <c r="D93" i="5"/>
  <c r="D217" i="5"/>
  <c r="E204" i="5" l="1"/>
  <c r="D204" i="5" s="1"/>
  <c r="E98" i="17"/>
  <c r="D98" i="17" s="1"/>
  <c r="E126" i="5" l="1"/>
  <c r="D126" i="5" s="1"/>
  <c r="E94" i="17"/>
  <c r="D94" i="17" s="1"/>
  <c r="B114" i="28"/>
  <c r="D114" i="28"/>
  <c r="F114" i="28"/>
  <c r="E10" i="17" l="1"/>
  <c r="D10" i="17" s="1"/>
  <c r="L126" i="5"/>
  <c r="M126" i="5" s="1"/>
  <c r="E9" i="17" l="1"/>
  <c r="D9" i="17" s="1"/>
  <c r="E42" i="33" l="1"/>
  <c r="E42" i="28"/>
  <c r="E42" i="24"/>
</calcChain>
</file>

<file path=xl/sharedStrings.xml><?xml version="1.0" encoding="utf-8"?>
<sst xmlns="http://schemas.openxmlformats.org/spreadsheetml/2006/main" count="4679" uniqueCount="498">
  <si>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</si>
  <si>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</si>
  <si>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</si>
  <si>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</si>
  <si>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</si>
  <si>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</si>
  <si>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</si>
  <si>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</si>
  <si>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</si>
  <si>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</si>
  <si>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</si>
  <si>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</si>
  <si>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</si>
  <si>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</si>
  <si>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</si>
  <si>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</si>
  <si>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</si>
  <si>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</si>
  <si>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</si>
  <si>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</si>
  <si>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</si>
  <si>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</si>
  <si>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</si>
  <si>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</si>
  <si>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</si>
  <si>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</si>
  <si>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</si>
  <si>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</si>
  <si>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</si>
  <si>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</si>
  <si>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</si>
  <si>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</si>
  <si>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</si>
  <si>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</si>
  <si>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</si>
  <si>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</si>
  <si>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</si>
  <si>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</si>
  <si>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</si>
  <si>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</si>
  <si>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</si>
  <si>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</si>
  <si>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</si>
  <si>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</si>
  <si>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</si>
  <si>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</si>
  <si>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</si>
  <si>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</si>
  <si>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</si>
  <si>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</si>
  <si>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</si>
  <si>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</si>
  <si>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</si>
  <si>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</si>
  <si>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</si>
  <si>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</si>
  <si>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</si>
  <si>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</si>
  <si>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</si>
  <si>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</si>
  <si>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</si>
  <si>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</si>
  <si>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</si>
  <si>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</si>
  <si>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</si>
  <si>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</si>
  <si>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</si>
  <si>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</si>
  <si>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</si>
  <si>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</si>
  <si>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</si>
  <si>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</si>
  <si>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</si>
  <si>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</si>
  <si>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</si>
  <si>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</si>
  <si>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</si>
  <si>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</si>
  <si>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</si>
  <si>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</si>
  <si>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</si>
  <si>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</si>
  <si>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</si>
  <si>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</si>
  <si>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</si>
  <si>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</si>
  <si>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</si>
  <si>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</si>
  <si>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</si>
  <si>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</si>
  <si>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</si>
  <si>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</si>
  <si>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</si>
  <si>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</si>
  <si>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</si>
  <si>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</si>
  <si>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</si>
  <si>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</si>
  <si>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</si>
  <si>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</si>
  <si>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</si>
  <si>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</si>
  <si>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</si>
  <si>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</si>
  <si>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</si>
  <si>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</si>
  <si>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</si>
  <si>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</si>
  <si>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</si>
  <si>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</si>
  <si>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</si>
  <si>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</si>
  <si>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</si>
  <si>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</si>
  <si>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</si>
  <si>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</si>
  <si>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</si>
  <si>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</si>
  <si>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</si>
  <si>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</si>
  <si>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</si>
  <si>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</si>
  <si>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</si>
  <si>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</si>
  <si>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</si>
  <si>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</si>
  <si>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</si>
  <si>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</si>
  <si>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</si>
  <si>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</si>
  <si>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</si>
  <si>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</si>
  <si>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</si>
  <si>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</si>
  <si>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</si>
  <si>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</si>
  <si>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</si>
  <si>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</si>
  <si>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</si>
  <si>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</si>
  <si>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</si>
  <si>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</si>
  <si>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</si>
  <si>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</si>
  <si>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</si>
  <si>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</si>
  <si>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</si>
  <si>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</si>
  <si>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</si>
  <si>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</si>
  <si>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</si>
  <si>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</si>
  <si>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</si>
  <si>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</si>
  <si>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</si>
  <si>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</si>
  <si>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</si>
  <si>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</si>
  <si>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</si>
  <si>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</si>
  <si>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</si>
  <si>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</si>
  <si>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</si>
  <si>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</si>
  <si>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</si>
  <si>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</si>
  <si>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</si>
  <si>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</si>
  <si>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</si>
  <si>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</si>
  <si>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</si>
  <si>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</si>
  <si>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</si>
  <si>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</si>
  <si>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</si>
  <si>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</si>
  <si>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</si>
  <si>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</si>
  <si>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</si>
  <si>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</si>
  <si>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</si>
  <si>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</si>
  <si>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</si>
  <si>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</si>
  <si>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</si>
  <si>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</si>
  <si>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</si>
  <si>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</si>
  <si>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</si>
  <si>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</si>
  <si>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</si>
  <si>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</si>
  <si>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</si>
  <si>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</si>
  <si>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</si>
  <si>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</si>
  <si>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</si>
  <si>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</si>
  <si>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</si>
  <si>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</si>
  <si>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</si>
  <si>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</si>
  <si>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</si>
  <si>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</si>
  <si>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</si>
  <si>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</si>
  <si>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</si>
  <si>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</si>
  <si>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</si>
  <si>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</si>
  <si>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</si>
  <si>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</si>
  <si>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</si>
  <si>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</si>
  <si>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</si>
  <si>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</si>
  <si>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</si>
  <si>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</si>
  <si>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</si>
  <si>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</si>
  <si>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</si>
  <si>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</si>
  <si>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</si>
  <si>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</si>
  <si>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</si>
  <si>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</si>
  <si>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</si>
  <si>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</si>
  <si>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</si>
  <si>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</si>
  <si>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</si>
  <si>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</si>
  <si>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</si>
  <si>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</si>
  <si>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</si>
  <si>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</si>
  <si>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</si>
  <si>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</si>
  <si>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</si>
  <si>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</si>
  <si>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</si>
  <si>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</si>
  <si>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</si>
  <si>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</si>
  <si>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</si>
  <si>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</si>
  <si>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</si>
  <si>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</si>
  <si>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</si>
  <si>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</si>
  <si>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</si>
  <si>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</si>
  <si>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</si>
  <si>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</si>
  <si>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</si>
  <si>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</si>
  <si>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</si>
  <si>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</si>
  <si>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</si>
  <si>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</si>
  <si>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</si>
  <si>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</si>
  <si>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</si>
  <si>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</si>
  <si>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</si>
  <si>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</si>
  <si>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</si>
  <si>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</si>
  <si>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</si>
  <si>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</si>
  <si>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</si>
  <si>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</si>
  <si>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</si>
  <si>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</si>
  <si>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</si>
  <si>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</si>
  <si>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</si>
  <si>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</si>
  <si>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</si>
  <si>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</si>
  <si>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</si>
  <si>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</si>
  <si>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</si>
  <si>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</si>
  <si>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</si>
  <si>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</si>
  <si>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</si>
  <si>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</si>
  <si>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</si>
  <si>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</si>
  <si>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</si>
  <si>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</si>
  <si>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</si>
  <si>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</si>
  <si>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</si>
  <si>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</si>
  <si>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</si>
  <si>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</si>
  <si>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</si>
  <si>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</si>
  <si>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</si>
  <si>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</si>
  <si>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</si>
  <si>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</si>
  <si>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</si>
  <si>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</si>
  <si>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</si>
  <si>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</si>
  <si>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</si>
  <si>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</si>
  <si>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</si>
  <si>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</si>
  <si>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</si>
  <si>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</si>
  <si>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</si>
  <si>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</si>
  <si>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</si>
  <si>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</si>
  <si>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</si>
  <si>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</si>
  <si>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</si>
  <si>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</si>
  <si>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</si>
  <si>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</si>
  <si>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</si>
  <si>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</si>
  <si>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</si>
  <si>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</si>
  <si>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</si>
  <si>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</si>
  <si>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</si>
  <si>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</si>
  <si>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</si>
  <si>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</si>
  <si>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</si>
  <si>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</si>
  <si>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</si>
  <si>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</si>
  <si>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</si>
  <si>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</si>
  <si>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</si>
  <si>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</si>
  <si>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</si>
  <si>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</si>
  <si>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</si>
  <si>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</si>
  <si>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</si>
  <si>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</si>
  <si>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</si>
  <si>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</si>
  <si>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</si>
  <si>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</si>
  <si>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</si>
  <si>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</si>
  <si>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</si>
  <si>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</si>
  <si>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</si>
  <si>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</si>
  <si>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</si>
  <si>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</si>
  <si>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</si>
  <si>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</si>
  <si>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</si>
  <si>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</si>
  <si>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</si>
  <si>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</si>
  <si>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</si>
  <si>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</si>
  <si>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</si>
  <si>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</si>
  <si>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</si>
  <si>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</si>
  <si>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</si>
  <si>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</si>
  <si>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</si>
  <si>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</si>
  <si>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</si>
  <si>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</si>
  <si>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</si>
  <si>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</si>
  <si>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</si>
  <si>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</si>
  <si>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</si>
  <si>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</si>
  <si>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</si>
  <si>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</si>
  <si>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</si>
  <si>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</si>
  <si>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</si>
  <si>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</si>
  <si>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</si>
  <si>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</si>
  <si>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</si>
  <si>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</si>
  <si>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</si>
  <si>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</si>
  <si>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</si>
  <si>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</si>
  <si>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</si>
  <si>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</si>
  <si>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</si>
  <si>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</si>
  <si>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</si>
  <si>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</si>
  <si>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</si>
  <si>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</si>
  <si>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</si>
  <si>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</si>
  <si>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</si>
  <si>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</si>
  <si>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</si>
  <si>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</si>
  <si>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</si>
  <si>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</si>
  <si>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</si>
  <si>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</si>
  <si>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</si>
  <si>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</si>
  <si>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</si>
  <si>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</si>
  <si>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</si>
  <si>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</si>
  <si>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</si>
  <si>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</si>
  <si>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</si>
  <si>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</si>
  <si>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</si>
  <si>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</si>
  <si>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</si>
  <si>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</si>
  <si>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</si>
  <si>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</si>
  <si>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</si>
  <si>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</si>
  <si>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</si>
  <si>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</si>
  <si>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</si>
  <si>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</si>
  <si>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</si>
  <si>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</si>
  <si>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</si>
  <si>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</si>
  <si>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</si>
  <si>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</si>
  <si>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</si>
  <si>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</si>
  <si>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</si>
  <si>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</si>
  <si>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</si>
  <si>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</si>
  <si>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</si>
  <si>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</si>
  <si>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</si>
  <si>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</si>
  <si>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</si>
  <si>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</si>
  <si>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</si>
  <si>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</si>
  <si>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</si>
  <si>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</si>
  <si>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</si>
  <si>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</si>
  <si>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</si>
  <si>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</si>
  <si>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</si>
  <si>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</si>
  <si>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</si>
  <si>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</si>
  <si>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</si>
  <si>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</si>
  <si>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</si>
  <si>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</si>
  <si>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</si>
  <si>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</si>
  <si>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</si>
  <si>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</si>
  <si>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сувенирная продукция</t>
  </si>
  <si>
    <t>300</t>
  </si>
  <si>
    <t>Г.П. Головин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</si>
  <si>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</si>
  <si>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</si>
  <si>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</si>
  <si>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</si>
  <si>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</si>
  <si>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</si>
  <si>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</si>
  <si>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</si>
  <si>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</si>
  <si>
    <t>Негативное воздействие на систему канализации</t>
  </si>
  <si>
    <t>1000,00м3</t>
  </si>
  <si>
    <t>Арендная плата за пользование земельными участками и другими обособленными природными объектами</t>
  </si>
  <si>
    <t xml:space="preserve"> Обоснования (расчеты) доходов и расходов к плану финансово-хозяйственной деятельности (за счет целевых субсидий) на 2023 год</t>
  </si>
  <si>
    <t>1. Обоснования (расчеты) доходов к плану финансово-хозяйственной деятельности (за счет целевых субсидий) на 2023 год</t>
  </si>
  <si>
    <t>2. Обоснования (расчеты) расходов к плану финансово-хозяйственной деятельности (за счет целевых субсидий) на 2023 год</t>
  </si>
  <si>
    <t>мудьтимедийный выставочный контент "30 лет избирательной системе Российской Федерации: государственный уровень и региональный аспект"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</si>
  <si>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2023 год</t>
  </si>
  <si>
    <t>1. Обоснования (расчеты) доходов к плану финансово-хозяйственной деятельности (за счет приносящей доход деятельности) на 2023 год</t>
  </si>
  <si>
    <t>Мультимедийный выставочный контент "Битва за Кавказ"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</si>
</sst>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2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1"/>
  <sheetViews>
    <sheetView tabSelected="1" view="pageBreakPreview" topLeftCell="A40" zoomScale="85" zoomScaleNormal="85" zoomScaleSheetLayoutView="85" workbookViewId="0">
      <selection activeCell="E48" sqref="E48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40" t="s">
        <v>193</v>
      </c>
      <c r="B1" s="240"/>
      <c r="C1" s="240"/>
      <c r="D1" s="240"/>
      <c r="E1" s="240"/>
      <c r="F1" s="240"/>
    </row>
    <row r="2" spans="1:6" ht="18.75" x14ac:dyDescent="0.25">
      <c r="A2" s="240" t="s">
        <v>481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34"/>
    </row>
    <row r="6" spans="1:6" ht="115.15" customHeight="1" thickBot="1" x14ac:dyDescent="0.3">
      <c r="A6" s="233"/>
      <c r="B6" s="235"/>
      <c r="C6" s="237"/>
      <c r="D6" s="235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4331146.6500000004</v>
      </c>
      <c r="E8" s="202">
        <f>4331146.65</f>
        <v>4331146.6500000004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203">
        <f>E8+E10-E20+E107</f>
        <v>0</v>
      </c>
      <c r="F9" s="5">
        <f>F8+F10-F20+F107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165757915.72999999</v>
      </c>
      <c r="E10" s="204">
        <f>E12+E16</f>
        <v>165757915.72999999</v>
      </c>
      <c r="F10" s="2">
        <f>F12+F16+F107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447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448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449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329883.31</v>
      </c>
      <c r="E16" s="204">
        <f t="shared" ref="E16:F16" si="1">E18+E19</f>
        <v>329883.31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329883.31</v>
      </c>
      <c r="E18" s="204">
        <v>329883.31</v>
      </c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170089062.38</v>
      </c>
      <c r="E20" s="204">
        <f>E22+E93</f>
        <v>170089062.38</v>
      </c>
      <c r="F20" s="2">
        <f>F22+F93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157560775.44999999</v>
      </c>
      <c r="E22" s="204">
        <f>E24+E32+E63+E72</f>
        <v>157560775.44999999</v>
      </c>
      <c r="F22" s="2">
        <f>F24+F32+F63+F72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62463100.890000001</v>
      </c>
      <c r="E24" s="204">
        <f>E26+E27+E28+E29</f>
        <v>62463100.890000001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47910596.490000002</v>
      </c>
      <c r="E26" s="204">
        <f>48160596.57-250000.08</f>
        <v>47910596.490000002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38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39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80699281.180000007</v>
      </c>
      <c r="E32" s="204">
        <f>E34+E35+E38+E49+E50+E53+E60+E61</f>
        <v>80699281.180000007</v>
      </c>
      <c r="F32" s="2">
        <f>F34+F35+F38+F49+F50+F53+F60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36889964.499999993</v>
      </c>
      <c r="E38" s="204">
        <f>E41+E43+E45+E46+E47+E48</f>
        <v>36889964.499999993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436</v>
      </c>
      <c r="B48" s="195">
        <v>244</v>
      </c>
      <c r="C48" s="195">
        <v>223</v>
      </c>
      <c r="D48" s="5">
        <f t="shared" ref="D48" si="6">E48+F48</f>
        <v>37000</v>
      </c>
      <c r="E48" s="204">
        <f>37000</f>
        <v>37000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30287001.129999999</v>
      </c>
      <c r="E50" s="204">
        <f>E51+E52</f>
        <v>30287001.129999999</v>
      </c>
      <c r="F50" s="2">
        <f t="shared" si="7"/>
        <v>0</v>
      </c>
    </row>
    <row r="51" spans="1:6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24"/>
      <c r="B52" s="119">
        <v>244</v>
      </c>
      <c r="C52" s="119">
        <v>225</v>
      </c>
      <c r="D52" s="5">
        <f>E52+F52</f>
        <v>30287001.129999999</v>
      </c>
      <c r="E52" s="204">
        <f>30287001.13</f>
        <v>30287001.129999999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11119607.93</v>
      </c>
      <c r="E53" s="204">
        <f>E54+E55+E57+E58+E56+E59</f>
        <v>11119607.93</v>
      </c>
      <c r="F53" s="2">
        <f>F54+F55+F57+F58+F56</f>
        <v>0</v>
      </c>
    </row>
    <row r="54" spans="1:6" ht="18.75" x14ac:dyDescent="0.25">
      <c r="A54" s="241" t="s">
        <v>6</v>
      </c>
      <c r="B54" s="119">
        <v>112</v>
      </c>
      <c r="C54" s="119">
        <v>226</v>
      </c>
      <c r="D54" s="5">
        <f t="shared" si="0"/>
        <v>80000</v>
      </c>
      <c r="E54" s="204">
        <f>80000</f>
        <v>80000</v>
      </c>
      <c r="F54" s="2"/>
    </row>
    <row r="55" spans="1:6" ht="18.75" x14ac:dyDescent="0.25">
      <c r="A55" s="242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42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42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42"/>
      <c r="B58" s="119">
        <v>244</v>
      </c>
      <c r="C58" s="119">
        <v>226</v>
      </c>
      <c r="D58" s="5">
        <f t="shared" si="0"/>
        <v>11039607.93</v>
      </c>
      <c r="E58" s="204">
        <f>6825461.28+4214146.65</f>
        <v>11039607.93</v>
      </c>
      <c r="F58" s="2"/>
    </row>
    <row r="59" spans="1:6" ht="18.75" x14ac:dyDescent="0.25">
      <c r="A59" s="243"/>
      <c r="B59" s="221">
        <v>323</v>
      </c>
      <c r="C59" s="221">
        <v>226</v>
      </c>
      <c r="D59" s="5"/>
      <c r="E59" s="204"/>
      <c r="F59" s="2"/>
    </row>
    <row r="60" spans="1:6" ht="18.75" x14ac:dyDescent="0.25">
      <c r="A60" s="115" t="s">
        <v>25</v>
      </c>
      <c r="B60" s="119">
        <v>244</v>
      </c>
      <c r="C60" s="119">
        <v>227</v>
      </c>
      <c r="D60" s="5">
        <f t="shared" si="0"/>
        <v>25067.62</v>
      </c>
      <c r="E60" s="204">
        <f>5067.62+20000</f>
        <v>25067.62</v>
      </c>
      <c r="F60" s="2"/>
    </row>
    <row r="61" spans="1:6" ht="56.25" x14ac:dyDescent="0.25">
      <c r="A61" s="170" t="s">
        <v>340</v>
      </c>
      <c r="B61" s="171">
        <v>244</v>
      </c>
      <c r="C61" s="171">
        <v>228</v>
      </c>
      <c r="D61" s="5">
        <f t="shared" ref="D61:D62" si="8">E61+F61</f>
        <v>0</v>
      </c>
      <c r="E61" s="204">
        <v>0</v>
      </c>
      <c r="F61" s="2"/>
    </row>
    <row r="62" spans="1:6" ht="150" x14ac:dyDescent="0.25">
      <c r="A62" s="219" t="s">
        <v>490</v>
      </c>
      <c r="B62" s="220">
        <v>244</v>
      </c>
      <c r="C62" s="220">
        <v>229</v>
      </c>
      <c r="D62" s="5">
        <f t="shared" si="8"/>
        <v>0</v>
      </c>
      <c r="E62" s="204">
        <v>0</v>
      </c>
      <c r="F62" s="2"/>
    </row>
    <row r="63" spans="1:6" ht="37.5" x14ac:dyDescent="0.25">
      <c r="A63" s="115" t="s">
        <v>26</v>
      </c>
      <c r="B63" s="119" t="s">
        <v>5</v>
      </c>
      <c r="C63" s="119">
        <v>260</v>
      </c>
      <c r="D63" s="5">
        <f>E63+F63</f>
        <v>300000</v>
      </c>
      <c r="E63" s="204">
        <f>E64+E65+E66+E67+E71</f>
        <v>300000</v>
      </c>
      <c r="F63" s="2">
        <f>F65+F67+F71</f>
        <v>0</v>
      </c>
    </row>
    <row r="64" spans="1:6" ht="93.75" x14ac:dyDescent="0.25">
      <c r="A64" s="212" t="s">
        <v>479</v>
      </c>
      <c r="B64" s="213">
        <v>323</v>
      </c>
      <c r="C64" s="213">
        <v>263</v>
      </c>
      <c r="D64" s="5"/>
      <c r="E64" s="204"/>
      <c r="F64" s="2"/>
    </row>
    <row r="65" spans="1:6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04"/>
      <c r="F65" s="2"/>
    </row>
    <row r="66" spans="1:6" ht="168.75" x14ac:dyDescent="0.25">
      <c r="A66" s="192" t="s">
        <v>435</v>
      </c>
      <c r="B66" s="193">
        <v>119</v>
      </c>
      <c r="C66" s="193">
        <v>265</v>
      </c>
      <c r="D66" s="5">
        <f t="shared" ref="D66" si="9">E66+F66</f>
        <v>0</v>
      </c>
      <c r="E66" s="204">
        <v>0</v>
      </c>
      <c r="F66" s="2"/>
    </row>
    <row r="67" spans="1:6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300000</v>
      </c>
      <c r="E67" s="204">
        <f t="shared" ref="E67:F67" si="10">E68+E69</f>
        <v>300000</v>
      </c>
      <c r="F67" s="2">
        <f t="shared" si="10"/>
        <v>0</v>
      </c>
    </row>
    <row r="68" spans="1:6" ht="18.75" x14ac:dyDescent="0.25">
      <c r="A68" s="224" t="s">
        <v>6</v>
      </c>
      <c r="B68" s="119">
        <v>111</v>
      </c>
      <c r="C68" s="119">
        <v>266</v>
      </c>
      <c r="D68" s="5">
        <f t="shared" si="0"/>
        <v>300000</v>
      </c>
      <c r="E68" s="204">
        <f>49999.92+250000.08</f>
        <v>300000</v>
      </c>
      <c r="F68" s="2"/>
    </row>
    <row r="69" spans="1:6" ht="18.75" x14ac:dyDescent="0.25">
      <c r="A69" s="224"/>
      <c r="B69" s="119">
        <v>112</v>
      </c>
      <c r="C69" s="119">
        <v>266</v>
      </c>
      <c r="D69" s="5">
        <f>E69+F69</f>
        <v>0</v>
      </c>
      <c r="E69" s="204"/>
      <c r="F69" s="2"/>
    </row>
    <row r="70" spans="1:6" ht="18.75" x14ac:dyDescent="0.25">
      <c r="A70" s="212"/>
      <c r="B70" s="213">
        <v>119</v>
      </c>
      <c r="C70" s="213">
        <v>266</v>
      </c>
      <c r="D70" s="5">
        <f>E70+F70</f>
        <v>0</v>
      </c>
      <c r="E70" s="204"/>
      <c r="F70" s="2"/>
    </row>
    <row r="71" spans="1:6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04"/>
      <c r="F71" s="2"/>
    </row>
    <row r="72" spans="1:6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14098393.380000003</v>
      </c>
      <c r="E72" s="204">
        <f>E74+E78+E79+E80+E81+E88</f>
        <v>14098393.380000003</v>
      </c>
      <c r="F72" s="2">
        <f>F74+F78+F79+F80+F81+F88</f>
        <v>0</v>
      </c>
    </row>
    <row r="73" spans="1:6" ht="18.75" x14ac:dyDescent="0.25">
      <c r="A73" s="115" t="s">
        <v>9</v>
      </c>
      <c r="B73" s="119"/>
      <c r="C73" s="119"/>
      <c r="D73" s="5">
        <f t="shared" si="0"/>
        <v>0</v>
      </c>
      <c r="E73" s="204"/>
      <c r="F73" s="2"/>
    </row>
    <row r="74" spans="1:6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14098393.380000003</v>
      </c>
      <c r="E74" s="204">
        <f t="shared" ref="E74:F74" si="11">E75+E76+E77</f>
        <v>14098393.380000003</v>
      </c>
      <c r="F74" s="2">
        <f t="shared" si="11"/>
        <v>0</v>
      </c>
    </row>
    <row r="75" spans="1:6" ht="18.75" x14ac:dyDescent="0.25">
      <c r="A75" s="224" t="s">
        <v>6</v>
      </c>
      <c r="B75" s="119">
        <v>851</v>
      </c>
      <c r="C75" s="119">
        <v>291</v>
      </c>
      <c r="D75" s="5">
        <f t="shared" si="0"/>
        <v>14046743.380000003</v>
      </c>
      <c r="E75" s="204">
        <f>7229283+9633960.38-2816500</f>
        <v>14046743.380000003</v>
      </c>
      <c r="F75" s="2"/>
    </row>
    <row r="76" spans="1:6" ht="18.75" x14ac:dyDescent="0.25">
      <c r="A76" s="224"/>
      <c r="B76" s="119">
        <v>852</v>
      </c>
      <c r="C76" s="119">
        <v>291</v>
      </c>
      <c r="D76" s="5">
        <f t="shared" si="0"/>
        <v>51650</v>
      </c>
      <c r="E76" s="204">
        <f>51650</f>
        <v>51650</v>
      </c>
      <c r="F76" s="2"/>
    </row>
    <row r="77" spans="1:6" ht="18.75" x14ac:dyDescent="0.25">
      <c r="A77" s="224"/>
      <c r="B77" s="119">
        <v>853</v>
      </c>
      <c r="C77" s="119">
        <v>291</v>
      </c>
      <c r="D77" s="5">
        <f t="shared" si="0"/>
        <v>0</v>
      </c>
      <c r="E77" s="204">
        <f>1300-1300</f>
        <v>0</v>
      </c>
      <c r="F77" s="2"/>
    </row>
    <row r="78" spans="1:6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04"/>
      <c r="F78" s="2">
        <v>0</v>
      </c>
    </row>
    <row r="79" spans="1:6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04"/>
      <c r="F79" s="2">
        <v>0</v>
      </c>
    </row>
    <row r="80" spans="1:6" ht="57" customHeight="1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04"/>
      <c r="F80" s="2">
        <v>0</v>
      </c>
    </row>
    <row r="81" spans="1:6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04">
        <f t="shared" ref="E81:F81" si="12">E82+E83+E84+E85+E87</f>
        <v>0</v>
      </c>
      <c r="F81" s="2">
        <f t="shared" si="12"/>
        <v>0</v>
      </c>
    </row>
    <row r="82" spans="1:6" ht="18.75" x14ac:dyDescent="0.25">
      <c r="A82" s="224" t="s">
        <v>6</v>
      </c>
      <c r="B82" s="119">
        <v>244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24"/>
      <c r="B83" s="119">
        <v>340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24"/>
      <c r="B84" s="119">
        <v>350</v>
      </c>
      <c r="C84" s="119">
        <v>296</v>
      </c>
      <c r="D84" s="5">
        <f t="shared" si="0"/>
        <v>0</v>
      </c>
      <c r="E84" s="204"/>
      <c r="F84" s="2"/>
    </row>
    <row r="85" spans="1:6" ht="18.75" x14ac:dyDescent="0.25">
      <c r="A85" s="224"/>
      <c r="B85" s="119">
        <v>360</v>
      </c>
      <c r="C85" s="119">
        <v>296</v>
      </c>
      <c r="D85" s="5">
        <f t="shared" si="0"/>
        <v>0</v>
      </c>
      <c r="E85" s="204"/>
      <c r="F85" s="2"/>
    </row>
    <row r="86" spans="1:6" ht="18.75" x14ac:dyDescent="0.25">
      <c r="A86" s="224"/>
      <c r="B86" s="208">
        <v>831</v>
      </c>
      <c r="C86" s="208">
        <v>296</v>
      </c>
      <c r="D86" s="5">
        <f t="shared" ref="D86" si="13">E86+F86</f>
        <v>0</v>
      </c>
      <c r="E86" s="204"/>
      <c r="F86" s="2"/>
    </row>
    <row r="87" spans="1:6" ht="18.75" x14ac:dyDescent="0.25">
      <c r="A87" s="224"/>
      <c r="B87" s="119">
        <v>853</v>
      </c>
      <c r="C87" s="119">
        <v>296</v>
      </c>
      <c r="D87" s="5">
        <f t="shared" ref="D87:D111" si="14">E87+F87</f>
        <v>0</v>
      </c>
      <c r="E87" s="204"/>
      <c r="F87" s="2"/>
    </row>
    <row r="88" spans="1:6" ht="56.25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04">
        <f>E89+E91+E92</f>
        <v>0</v>
      </c>
      <c r="F88" s="2">
        <f>F89+F91+F92</f>
        <v>0</v>
      </c>
    </row>
    <row r="89" spans="1:6" ht="18.75" x14ac:dyDescent="0.25">
      <c r="A89" s="224" t="s">
        <v>6</v>
      </c>
      <c r="B89" s="119">
        <v>244</v>
      </c>
      <c r="C89" s="119">
        <v>297</v>
      </c>
      <c r="D89" s="5">
        <f t="shared" si="14"/>
        <v>0</v>
      </c>
      <c r="E89" s="204"/>
      <c r="F89" s="2"/>
    </row>
    <row r="90" spans="1:6" ht="18.75" x14ac:dyDescent="0.25">
      <c r="A90" s="224"/>
      <c r="B90" s="210">
        <v>613</v>
      </c>
      <c r="C90" s="210">
        <v>297</v>
      </c>
      <c r="D90" s="5">
        <f t="shared" si="14"/>
        <v>0</v>
      </c>
      <c r="E90" s="204"/>
      <c r="F90" s="2"/>
    </row>
    <row r="91" spans="1:6" ht="18.75" x14ac:dyDescent="0.25">
      <c r="A91" s="224"/>
      <c r="B91" s="191">
        <v>831</v>
      </c>
      <c r="C91" s="191">
        <v>297</v>
      </c>
      <c r="D91" s="5">
        <f t="shared" si="14"/>
        <v>0</v>
      </c>
      <c r="E91" s="204"/>
      <c r="F91" s="2"/>
    </row>
    <row r="92" spans="1:6" ht="18.75" x14ac:dyDescent="0.25">
      <c r="A92" s="224"/>
      <c r="B92" s="119">
        <v>853</v>
      </c>
      <c r="C92" s="119">
        <v>297</v>
      </c>
      <c r="D92" s="5">
        <f t="shared" si="14"/>
        <v>0</v>
      </c>
      <c r="E92" s="204"/>
      <c r="F92" s="2"/>
    </row>
    <row r="93" spans="1:6" ht="56.25" x14ac:dyDescent="0.25">
      <c r="A93" s="115" t="s">
        <v>59</v>
      </c>
      <c r="B93" s="119" t="s">
        <v>5</v>
      </c>
      <c r="C93" s="119">
        <v>300</v>
      </c>
      <c r="D93" s="5">
        <f t="shared" si="14"/>
        <v>12528286.93</v>
      </c>
      <c r="E93" s="204">
        <f>E95+E97+E96</f>
        <v>12528286.93</v>
      </c>
      <c r="F93" s="2">
        <f>F95+F97+F96</f>
        <v>0</v>
      </c>
    </row>
    <row r="94" spans="1:6" ht="14.45" customHeight="1" x14ac:dyDescent="0.25">
      <c r="A94" s="115" t="s">
        <v>9</v>
      </c>
      <c r="B94" s="119"/>
      <c r="C94" s="119"/>
      <c r="D94" s="5"/>
      <c r="E94" s="204"/>
      <c r="F94" s="2"/>
    </row>
    <row r="95" spans="1:6" ht="56.25" x14ac:dyDescent="0.25">
      <c r="A95" s="115" t="s">
        <v>36</v>
      </c>
      <c r="B95" s="119">
        <v>244</v>
      </c>
      <c r="C95" s="119">
        <v>310</v>
      </c>
      <c r="D95" s="5">
        <f t="shared" si="14"/>
        <v>0</v>
      </c>
      <c r="E95" s="204"/>
      <c r="F95" s="2"/>
    </row>
    <row r="96" spans="1:6" ht="75" x14ac:dyDescent="0.25">
      <c r="A96" s="115" t="s">
        <v>68</v>
      </c>
      <c r="B96" s="119">
        <v>244</v>
      </c>
      <c r="C96" s="119">
        <v>320</v>
      </c>
      <c r="D96" s="5">
        <f t="shared" si="14"/>
        <v>2796500</v>
      </c>
      <c r="E96" s="204">
        <f>2796500</f>
        <v>2796500</v>
      </c>
      <c r="F96" s="2"/>
    </row>
    <row r="97" spans="1:6" ht="75" x14ac:dyDescent="0.25">
      <c r="A97" s="115" t="s">
        <v>60</v>
      </c>
      <c r="B97" s="119" t="s">
        <v>5</v>
      </c>
      <c r="C97" s="119">
        <v>340</v>
      </c>
      <c r="D97" s="5">
        <f t="shared" si="14"/>
        <v>9731786.9299999997</v>
      </c>
      <c r="E97" s="204">
        <f>E99+E100+E101+E102+E103+E104+E105+E106</f>
        <v>9731786.9299999997</v>
      </c>
      <c r="F97" s="2">
        <f>F99+F100+F101+F102+F103+F104+F106</f>
        <v>0</v>
      </c>
    </row>
    <row r="98" spans="1:6" ht="18.75" x14ac:dyDescent="0.25">
      <c r="A98" s="115" t="s">
        <v>6</v>
      </c>
      <c r="B98" s="119"/>
      <c r="C98" s="119"/>
      <c r="D98" s="5"/>
      <c r="E98" s="204"/>
      <c r="F98" s="2"/>
    </row>
    <row r="99" spans="1:6" ht="131.25" x14ac:dyDescent="0.25">
      <c r="A99" s="115" t="s">
        <v>37</v>
      </c>
      <c r="B99" s="119">
        <v>244</v>
      </c>
      <c r="C99" s="119">
        <v>341</v>
      </c>
      <c r="D99" s="5">
        <f t="shared" si="14"/>
        <v>0</v>
      </c>
      <c r="E99" s="204"/>
      <c r="F99" s="2"/>
    </row>
    <row r="100" spans="1:6" ht="56.25" x14ac:dyDescent="0.25">
      <c r="A100" s="115" t="s">
        <v>38</v>
      </c>
      <c r="B100" s="119">
        <v>244</v>
      </c>
      <c r="C100" s="119">
        <v>342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39</v>
      </c>
      <c r="B101" s="119">
        <v>244</v>
      </c>
      <c r="C101" s="119">
        <v>343</v>
      </c>
      <c r="D101" s="5">
        <f t="shared" si="14"/>
        <v>290000</v>
      </c>
      <c r="E101" s="204">
        <f>290000</f>
        <v>290000</v>
      </c>
      <c r="F101" s="2"/>
    </row>
    <row r="102" spans="1:6" ht="75" x14ac:dyDescent="0.25">
      <c r="A102" s="115" t="s">
        <v>40</v>
      </c>
      <c r="B102" s="119">
        <v>244</v>
      </c>
      <c r="C102" s="119">
        <v>344</v>
      </c>
      <c r="D102" s="5">
        <f t="shared" si="14"/>
        <v>200000</v>
      </c>
      <c r="E102" s="204">
        <f>200000</f>
        <v>200000</v>
      </c>
      <c r="F102" s="2"/>
    </row>
    <row r="103" spans="1:6" ht="56.25" x14ac:dyDescent="0.25">
      <c r="A103" s="115" t="s">
        <v>41</v>
      </c>
      <c r="B103" s="119">
        <v>244</v>
      </c>
      <c r="C103" s="119">
        <v>345</v>
      </c>
      <c r="D103" s="5">
        <f t="shared" si="14"/>
        <v>664128.31000000006</v>
      </c>
      <c r="E103" s="204">
        <f>334245+329883.31</f>
        <v>664128.31000000006</v>
      </c>
      <c r="F103" s="2"/>
    </row>
    <row r="104" spans="1:6" ht="75" x14ac:dyDescent="0.25">
      <c r="A104" s="115" t="s">
        <v>42</v>
      </c>
      <c r="B104" s="119">
        <v>244</v>
      </c>
      <c r="C104" s="119">
        <v>346</v>
      </c>
      <c r="D104" s="5">
        <f t="shared" si="14"/>
        <v>8428958.6199999992</v>
      </c>
      <c r="E104" s="204">
        <f>8428958.62</f>
        <v>8428958.6199999992</v>
      </c>
      <c r="F104" s="2"/>
    </row>
    <row r="105" spans="1:6" ht="112.5" x14ac:dyDescent="0.25">
      <c r="A105" s="170" t="s">
        <v>341</v>
      </c>
      <c r="B105" s="171">
        <v>244</v>
      </c>
      <c r="C105" s="171">
        <v>347</v>
      </c>
      <c r="D105" s="5">
        <f t="shared" ref="D105" si="15">E105+F105</f>
        <v>0</v>
      </c>
      <c r="E105" s="204">
        <v>0</v>
      </c>
      <c r="F105" s="2"/>
    </row>
    <row r="106" spans="1:6" ht="112.5" x14ac:dyDescent="0.25">
      <c r="A106" s="115" t="s">
        <v>43</v>
      </c>
      <c r="B106" s="119">
        <v>244</v>
      </c>
      <c r="C106" s="119">
        <v>349</v>
      </c>
      <c r="D106" s="5">
        <f t="shared" si="14"/>
        <v>148700</v>
      </c>
      <c r="E106" s="204">
        <f>148700</f>
        <v>148700</v>
      </c>
      <c r="F106" s="2"/>
    </row>
    <row r="107" spans="1:6" ht="56.25" x14ac:dyDescent="0.25">
      <c r="A107" s="115" t="s">
        <v>67</v>
      </c>
      <c r="B107" s="119" t="s">
        <v>5</v>
      </c>
      <c r="C107" s="119" t="s">
        <v>5</v>
      </c>
      <c r="D107" s="5">
        <f t="shared" si="14"/>
        <v>0</v>
      </c>
      <c r="E107" s="204">
        <f t="shared" ref="E107:F107" si="16">E109+E110+E111</f>
        <v>0</v>
      </c>
      <c r="F107" s="2">
        <f t="shared" si="16"/>
        <v>0</v>
      </c>
    </row>
    <row r="108" spans="1:6" ht="18.75" x14ac:dyDescent="0.25">
      <c r="A108" s="115" t="s">
        <v>6</v>
      </c>
      <c r="B108" s="119"/>
      <c r="C108" s="119"/>
      <c r="D108" s="5"/>
      <c r="E108" s="204"/>
      <c r="F108" s="2"/>
    </row>
    <row r="109" spans="1:6" ht="25.15" customHeight="1" x14ac:dyDescent="0.25">
      <c r="A109" s="115" t="s">
        <v>194</v>
      </c>
      <c r="B109" s="119">
        <v>180</v>
      </c>
      <c r="C109" s="119" t="s">
        <v>5</v>
      </c>
      <c r="D109" s="5">
        <f t="shared" si="14"/>
        <v>0</v>
      </c>
      <c r="E109" s="204"/>
      <c r="F109" s="2"/>
    </row>
    <row r="110" spans="1:6" ht="56.25" x14ac:dyDescent="0.25">
      <c r="A110" s="115" t="s">
        <v>195</v>
      </c>
      <c r="B110" s="119">
        <v>180</v>
      </c>
      <c r="C110" s="119" t="s">
        <v>5</v>
      </c>
      <c r="D110" s="5">
        <f t="shared" si="14"/>
        <v>0</v>
      </c>
      <c r="E110" s="204"/>
      <c r="F110" s="2"/>
    </row>
    <row r="111" spans="1:6" ht="57" thickBot="1" x14ac:dyDescent="0.3">
      <c r="A111" s="32" t="s">
        <v>196</v>
      </c>
      <c r="B111" s="33">
        <v>180</v>
      </c>
      <c r="C111" s="33" t="s">
        <v>5</v>
      </c>
      <c r="D111" s="34">
        <f t="shared" si="14"/>
        <v>0</v>
      </c>
      <c r="E111" s="205"/>
      <c r="F111" s="35"/>
    </row>
    <row r="112" spans="1:6" ht="18.600000000000001" customHeight="1" x14ac:dyDescent="0.25">
      <c r="A112" s="15"/>
      <c r="B112" s="19"/>
      <c r="C112" s="19"/>
      <c r="D112" s="36"/>
      <c r="E112" s="36"/>
      <c r="F112" s="36"/>
    </row>
    <row r="113" spans="1:10" x14ac:dyDescent="0.25">
      <c r="A113" s="11"/>
    </row>
    <row r="114" spans="1:10" ht="37.5" x14ac:dyDescent="0.3">
      <c r="A114" s="29" t="s">
        <v>52</v>
      </c>
      <c r="B114" s="227"/>
      <c r="C114" s="227"/>
      <c r="D114" s="10"/>
      <c r="E114" s="227" t="s">
        <v>478</v>
      </c>
      <c r="F114" s="227"/>
    </row>
    <row r="115" spans="1:10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0" ht="18.75" x14ac:dyDescent="0.3">
      <c r="A116" s="29"/>
      <c r="B116" s="10"/>
      <c r="C116" s="10"/>
      <c r="D116" s="10"/>
      <c r="E116" s="10"/>
      <c r="F116" s="10"/>
    </row>
    <row r="117" spans="1:10" ht="37.5" x14ac:dyDescent="0.3">
      <c r="A117" s="29" t="s">
        <v>55</v>
      </c>
      <c r="B117" s="227"/>
      <c r="C117" s="227"/>
      <c r="D117" s="10"/>
      <c r="E117" s="227" t="s">
        <v>482</v>
      </c>
      <c r="F117" s="227"/>
    </row>
    <row r="118" spans="1:10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0" ht="18.75" x14ac:dyDescent="0.3">
      <c r="A119" s="29"/>
      <c r="B119" s="46"/>
      <c r="C119" s="46"/>
      <c r="D119" s="10"/>
      <c r="E119" s="46"/>
      <c r="F119" s="46"/>
    </row>
    <row r="120" spans="1:10" ht="18.75" x14ac:dyDescent="0.3">
      <c r="A120" s="29" t="s">
        <v>56</v>
      </c>
      <c r="B120" s="227"/>
      <c r="C120" s="227"/>
      <c r="D120" s="10"/>
      <c r="E120" s="227" t="s">
        <v>482</v>
      </c>
      <c r="F120" s="227"/>
    </row>
    <row r="121" spans="1:10" ht="18.75" x14ac:dyDescent="0.3">
      <c r="A121" s="29"/>
      <c r="B121" s="226" t="s">
        <v>53</v>
      </c>
      <c r="C121" s="226"/>
      <c r="D121" s="10"/>
      <c r="E121" s="226" t="s">
        <v>54</v>
      </c>
      <c r="F121" s="226"/>
    </row>
    <row r="122" spans="1:10" ht="18.75" x14ac:dyDescent="0.3">
      <c r="A122" s="29" t="s">
        <v>57</v>
      </c>
      <c r="B122" s="10"/>
      <c r="C122" s="10"/>
      <c r="D122" s="10"/>
      <c r="E122" s="10"/>
      <c r="F122" s="10"/>
    </row>
    <row r="123" spans="1:10" ht="18.75" x14ac:dyDescent="0.3">
      <c r="A123" s="225" t="s">
        <v>44</v>
      </c>
      <c r="B123" s="225"/>
      <c r="C123" s="10"/>
      <c r="D123" s="10"/>
      <c r="E123" s="10"/>
      <c r="F123" s="10"/>
    </row>
    <row r="124" spans="1:10" ht="18.75" x14ac:dyDescent="0.25">
      <c r="A124" s="228" t="s">
        <v>192</v>
      </c>
      <c r="B124" s="228"/>
      <c r="C124" s="228"/>
      <c r="D124" s="228"/>
      <c r="E124" s="228"/>
      <c r="F124" s="228"/>
    </row>
    <row r="125" spans="1:10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17">E125+F125</f>
        <v>0</v>
      </c>
      <c r="E125" s="2"/>
      <c r="F125" s="4"/>
      <c r="H125" s="71" t="s">
        <v>230</v>
      </c>
      <c r="I125" s="71" t="s">
        <v>231</v>
      </c>
      <c r="J125" s="71" t="s">
        <v>232</v>
      </c>
    </row>
    <row r="126" spans="1:10" ht="18.75" x14ac:dyDescent="0.25">
      <c r="A126" s="54" t="s">
        <v>7</v>
      </c>
      <c r="B126" s="58" t="s">
        <v>5</v>
      </c>
      <c r="C126" s="58">
        <v>900</v>
      </c>
      <c r="D126" s="5">
        <f t="shared" si="17"/>
        <v>93110568.109999985</v>
      </c>
      <c r="E126" s="2">
        <f>E129+E161+E176+E208</f>
        <v>93110568.109999985</v>
      </c>
      <c r="F126" s="2">
        <f>F129+F161</f>
        <v>0</v>
      </c>
      <c r="H126" s="72">
        <f>E26+E27+E28+E30+E36+E54+E55+E56+E65+E68+E69+E71+E75+E76+E77+E78+E79+E80+E83+E84+E85+E87+E92</f>
        <v>76941494.270000011</v>
      </c>
      <c r="I126" s="72">
        <f>H126+D126</f>
        <v>170052062.38</v>
      </c>
      <c r="J126" s="72">
        <f>I126-E20</f>
        <v>-37000</v>
      </c>
    </row>
    <row r="127" spans="1:10" ht="18.75" x14ac:dyDescent="0.25">
      <c r="A127" s="54" t="s">
        <v>6</v>
      </c>
      <c r="B127" s="58"/>
      <c r="C127" s="58"/>
      <c r="D127" s="5"/>
      <c r="E127" s="2"/>
      <c r="F127" s="4"/>
    </row>
    <row r="128" spans="1:10" ht="18.75" x14ac:dyDescent="0.25">
      <c r="A128" s="229" t="s">
        <v>200</v>
      </c>
      <c r="B128" s="230"/>
      <c r="C128" s="230"/>
      <c r="D128" s="230"/>
      <c r="E128" s="230"/>
      <c r="F128" s="231"/>
    </row>
    <row r="129" spans="1:6" ht="18.75" x14ac:dyDescent="0.25">
      <c r="A129" s="54" t="s">
        <v>8</v>
      </c>
      <c r="B129" s="58" t="s">
        <v>5</v>
      </c>
      <c r="C129" s="58">
        <v>200</v>
      </c>
      <c r="D129" s="5">
        <f t="shared" ref="D129:D165" si="18">E129+F129</f>
        <v>10018870.08</v>
      </c>
      <c r="E129" s="2">
        <f>E131+E134+E157</f>
        <v>10018870.08</v>
      </c>
      <c r="F129" s="2">
        <f>F131+F134+F157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75" x14ac:dyDescent="0.25">
      <c r="A131" s="54" t="s">
        <v>10</v>
      </c>
      <c r="B131" s="58" t="s">
        <v>5</v>
      </c>
      <c r="C131" s="58">
        <v>210</v>
      </c>
      <c r="D131" s="5">
        <f t="shared" si="18"/>
        <v>0</v>
      </c>
      <c r="E131" s="2">
        <f>E133</f>
        <v>0</v>
      </c>
      <c r="F131" s="2">
        <f>F133</f>
        <v>0</v>
      </c>
    </row>
    <row r="132" spans="1:6" ht="18.75" x14ac:dyDescent="0.25">
      <c r="A132" s="54" t="s">
        <v>9</v>
      </c>
      <c r="B132" s="58"/>
      <c r="C132" s="58"/>
      <c r="D132" s="5"/>
      <c r="E132" s="2"/>
      <c r="F132" s="2"/>
    </row>
    <row r="133" spans="1:6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</row>
    <row r="134" spans="1:6" ht="37.5" x14ac:dyDescent="0.25">
      <c r="A134" s="54" t="s">
        <v>14</v>
      </c>
      <c r="B134" s="58" t="s">
        <v>5</v>
      </c>
      <c r="C134" s="58">
        <v>220</v>
      </c>
      <c r="D134" s="5">
        <f t="shared" si="18"/>
        <v>10018870.08</v>
      </c>
      <c r="E134" s="2">
        <f>E136+E137+E138+E148+E149+E152+E155</f>
        <v>10018870.08</v>
      </c>
      <c r="F134" s="2">
        <f>F136+F137+F138+F148+F149+F152+F155</f>
        <v>0</v>
      </c>
    </row>
    <row r="135" spans="1:6" ht="18.75" x14ac:dyDescent="0.25">
      <c r="A135" s="54" t="s">
        <v>9</v>
      </c>
      <c r="B135" s="58"/>
      <c r="C135" s="58"/>
      <c r="D135" s="5"/>
      <c r="E135" s="2"/>
      <c r="F135" s="2"/>
    </row>
    <row r="136" spans="1:6" ht="18.75" x14ac:dyDescent="0.25">
      <c r="A136" s="54" t="s">
        <v>15</v>
      </c>
      <c r="B136" s="58">
        <v>244</v>
      </c>
      <c r="C136" s="58">
        <v>221</v>
      </c>
      <c r="D136" s="5">
        <f t="shared" si="18"/>
        <v>755195.63</v>
      </c>
      <c r="E136" s="2">
        <f>780595.62-25399.99</f>
        <v>755195.63</v>
      </c>
      <c r="F136" s="2"/>
    </row>
    <row r="137" spans="1:6" ht="37.5" x14ac:dyDescent="0.25">
      <c r="A137" s="54" t="s">
        <v>16</v>
      </c>
      <c r="B137" s="58">
        <v>244</v>
      </c>
      <c r="C137" s="58">
        <v>222</v>
      </c>
      <c r="D137" s="5">
        <f t="shared" si="18"/>
        <v>0</v>
      </c>
      <c r="E137" s="2"/>
      <c r="F137" s="2"/>
    </row>
    <row r="138" spans="1:6" ht="37.5" x14ac:dyDescent="0.25">
      <c r="A138" s="54" t="s">
        <v>17</v>
      </c>
      <c r="B138" s="58" t="s">
        <v>5</v>
      </c>
      <c r="C138" s="58">
        <v>223</v>
      </c>
      <c r="D138" s="5">
        <f t="shared" si="18"/>
        <v>0</v>
      </c>
      <c r="E138" s="2">
        <f t="shared" ref="E138:F138" si="19">E140+E142+E144+E145+E146</f>
        <v>0</v>
      </c>
      <c r="F138" s="2">
        <f t="shared" si="19"/>
        <v>0</v>
      </c>
    </row>
    <row r="139" spans="1:6" ht="18.75" x14ac:dyDescent="0.25">
      <c r="A139" s="54" t="s">
        <v>6</v>
      </c>
      <c r="B139" s="58"/>
      <c r="C139" s="58"/>
      <c r="D139" s="5"/>
      <c r="E139" s="2"/>
      <c r="F139" s="2"/>
    </row>
    <row r="140" spans="1:6" ht="56.25" x14ac:dyDescent="0.25">
      <c r="A140" s="54" t="s">
        <v>18</v>
      </c>
      <c r="B140" s="58">
        <v>244</v>
      </c>
      <c r="C140" s="58">
        <v>223</v>
      </c>
      <c r="D140" s="5">
        <f t="shared" si="18"/>
        <v>0</v>
      </c>
      <c r="E140" s="2"/>
      <c r="F140" s="2"/>
    </row>
    <row r="141" spans="1:6" ht="37.5" x14ac:dyDescent="0.25">
      <c r="A141" s="200" t="s">
        <v>19</v>
      </c>
      <c r="B141" s="201">
        <v>244</v>
      </c>
      <c r="C141" s="201">
        <v>223</v>
      </c>
      <c r="D141" s="5">
        <f t="shared" ref="D141" si="20">E141+F141</f>
        <v>0</v>
      </c>
      <c r="E141" s="2">
        <v>0</v>
      </c>
      <c r="F141" s="2"/>
    </row>
    <row r="142" spans="1:6" ht="37.5" x14ac:dyDescent="0.25">
      <c r="A142" s="54" t="s">
        <v>19</v>
      </c>
      <c r="B142" s="58">
        <v>247</v>
      </c>
      <c r="C142" s="58">
        <v>223</v>
      </c>
      <c r="D142" s="5">
        <f t="shared" si="18"/>
        <v>0</v>
      </c>
      <c r="E142" s="2">
        <f>2002130.43-2002130.43</f>
        <v>0</v>
      </c>
      <c r="F142" s="2"/>
    </row>
    <row r="143" spans="1:6" ht="75" x14ac:dyDescent="0.25">
      <c r="A143" s="200" t="s">
        <v>20</v>
      </c>
      <c r="B143" s="201">
        <v>244</v>
      </c>
      <c r="C143" s="201">
        <v>223</v>
      </c>
      <c r="D143" s="5">
        <f t="shared" ref="D143" si="21">E143+F143</f>
        <v>0</v>
      </c>
      <c r="E143" s="2">
        <v>0</v>
      </c>
      <c r="F143" s="2"/>
    </row>
    <row r="144" spans="1:6" ht="75" x14ac:dyDescent="0.25">
      <c r="A144" s="54" t="s">
        <v>20</v>
      </c>
      <c r="B144" s="58">
        <v>247</v>
      </c>
      <c r="C144" s="58">
        <v>223</v>
      </c>
      <c r="D144" s="5">
        <f t="shared" si="18"/>
        <v>0</v>
      </c>
      <c r="E144" s="2">
        <f>0</f>
        <v>0</v>
      </c>
      <c r="F144" s="2"/>
    </row>
    <row r="145" spans="1:6" ht="75" x14ac:dyDescent="0.25">
      <c r="A145" s="54" t="s">
        <v>21</v>
      </c>
      <c r="B145" s="58">
        <v>244</v>
      </c>
      <c r="C145" s="58">
        <v>223</v>
      </c>
      <c r="D145" s="5">
        <f t="shared" si="18"/>
        <v>0</v>
      </c>
      <c r="E145" s="2">
        <f>702861.9-702861.9</f>
        <v>0</v>
      </c>
      <c r="F145" s="2"/>
    </row>
    <row r="146" spans="1:6" ht="56.25" x14ac:dyDescent="0.25">
      <c r="A146" s="54" t="s">
        <v>22</v>
      </c>
      <c r="B146" s="58">
        <v>244</v>
      </c>
      <c r="C146" s="58">
        <v>223</v>
      </c>
      <c r="D146" s="5">
        <f t="shared" si="18"/>
        <v>0</v>
      </c>
      <c r="E146" s="2">
        <f>192680.21-192680.21</f>
        <v>0</v>
      </c>
      <c r="F146" s="2"/>
    </row>
    <row r="147" spans="1:6" ht="56.25" x14ac:dyDescent="0.25">
      <c r="A147" s="194" t="s">
        <v>436</v>
      </c>
      <c r="B147" s="195">
        <v>244</v>
      </c>
      <c r="C147" s="195">
        <v>223</v>
      </c>
      <c r="D147" s="5">
        <f t="shared" ref="D147" si="22">E147+F147</f>
        <v>0</v>
      </c>
      <c r="E147" s="2">
        <v>0</v>
      </c>
      <c r="F147" s="2"/>
    </row>
    <row r="148" spans="1:6" ht="168.75" x14ac:dyDescent="0.25">
      <c r="A148" s="54" t="s">
        <v>23</v>
      </c>
      <c r="B148" s="58">
        <v>244</v>
      </c>
      <c r="C148" s="58">
        <v>224</v>
      </c>
      <c r="D148" s="5">
        <f t="shared" si="18"/>
        <v>0</v>
      </c>
      <c r="E148" s="2"/>
      <c r="F148" s="2"/>
    </row>
    <row r="149" spans="1:6" ht="56.25" x14ac:dyDescent="0.25">
      <c r="A149" s="54" t="s">
        <v>24</v>
      </c>
      <c r="B149" s="58" t="s">
        <v>5</v>
      </c>
      <c r="C149" s="58">
        <v>225</v>
      </c>
      <c r="D149" s="2">
        <f t="shared" ref="D149:F149" si="23">D150+D151</f>
        <v>5218618.45</v>
      </c>
      <c r="E149" s="2">
        <f>E150+E151</f>
        <v>5218618.45</v>
      </c>
      <c r="F149" s="2">
        <f t="shared" si="23"/>
        <v>0</v>
      </c>
    </row>
    <row r="150" spans="1:6" ht="18.75" x14ac:dyDescent="0.25">
      <c r="A150" s="224" t="s">
        <v>6</v>
      </c>
      <c r="B150" s="58">
        <v>243</v>
      </c>
      <c r="C150" s="58">
        <v>225</v>
      </c>
      <c r="D150" s="5">
        <f t="shared" si="18"/>
        <v>0</v>
      </c>
      <c r="E150" s="2"/>
      <c r="F150" s="2"/>
    </row>
    <row r="151" spans="1:6" ht="18.75" x14ac:dyDescent="0.25">
      <c r="A151" s="224"/>
      <c r="B151" s="58">
        <v>244</v>
      </c>
      <c r="C151" s="58">
        <v>225</v>
      </c>
      <c r="D151" s="5">
        <f t="shared" si="18"/>
        <v>5218618.45</v>
      </c>
      <c r="E151" s="2">
        <f>6179517.45-960899</f>
        <v>5218618.45</v>
      </c>
      <c r="F151" s="2"/>
    </row>
    <row r="152" spans="1:6" ht="37.5" x14ac:dyDescent="0.25">
      <c r="A152" s="54" t="s">
        <v>58</v>
      </c>
      <c r="B152" s="58" t="s">
        <v>5</v>
      </c>
      <c r="C152" s="58">
        <v>226</v>
      </c>
      <c r="D152" s="5">
        <f t="shared" si="18"/>
        <v>4045056</v>
      </c>
      <c r="E152" s="2">
        <f>E153+E154</f>
        <v>4045056</v>
      </c>
      <c r="F152" s="2">
        <f>F153+F154</f>
        <v>0</v>
      </c>
    </row>
    <row r="153" spans="1:6" ht="18.75" x14ac:dyDescent="0.25">
      <c r="A153" s="224" t="s">
        <v>6</v>
      </c>
      <c r="B153" s="58">
        <v>243</v>
      </c>
      <c r="C153" s="58">
        <v>226</v>
      </c>
      <c r="D153" s="5">
        <f t="shared" si="18"/>
        <v>0</v>
      </c>
      <c r="E153" s="2"/>
      <c r="F153" s="2"/>
    </row>
    <row r="154" spans="1:6" ht="18.75" x14ac:dyDescent="0.25">
      <c r="A154" s="224"/>
      <c r="B154" s="58">
        <v>244</v>
      </c>
      <c r="C154" s="58">
        <v>226</v>
      </c>
      <c r="D154" s="5">
        <f t="shared" si="18"/>
        <v>4045056</v>
      </c>
      <c r="E154" s="2">
        <f>4093256-48200</f>
        <v>4045056</v>
      </c>
      <c r="F154" s="2"/>
    </row>
    <row r="155" spans="1:6" ht="18.75" x14ac:dyDescent="0.25">
      <c r="A155" s="54" t="s">
        <v>25</v>
      </c>
      <c r="B155" s="58">
        <v>244</v>
      </c>
      <c r="C155" s="58">
        <v>227</v>
      </c>
      <c r="D155" s="5">
        <f t="shared" si="18"/>
        <v>0</v>
      </c>
      <c r="E155" s="2"/>
      <c r="F155" s="2"/>
    </row>
    <row r="156" spans="1:6" ht="56.25" x14ac:dyDescent="0.25">
      <c r="A156" s="170" t="s">
        <v>340</v>
      </c>
      <c r="B156" s="171">
        <v>244</v>
      </c>
      <c r="C156" s="171">
        <v>228</v>
      </c>
      <c r="D156" s="5">
        <f t="shared" si="18"/>
        <v>0</v>
      </c>
      <c r="E156" s="2"/>
      <c r="F156" s="2"/>
    </row>
    <row r="157" spans="1:6" ht="18.75" x14ac:dyDescent="0.25">
      <c r="A157" s="54" t="s">
        <v>30</v>
      </c>
      <c r="B157" s="58" t="s">
        <v>5</v>
      </c>
      <c r="C157" s="58">
        <v>290</v>
      </c>
      <c r="D157" s="5">
        <f t="shared" si="18"/>
        <v>0</v>
      </c>
      <c r="E157" s="2">
        <f>E159+E160</f>
        <v>0</v>
      </c>
      <c r="F157" s="2">
        <f>F159+F160</f>
        <v>0</v>
      </c>
    </row>
    <row r="158" spans="1:6" ht="18.75" x14ac:dyDescent="0.25">
      <c r="A158" s="54" t="s">
        <v>9</v>
      </c>
      <c r="B158" s="58"/>
      <c r="C158" s="58"/>
      <c r="D158" s="5">
        <f t="shared" si="18"/>
        <v>0</v>
      </c>
      <c r="E158" s="2"/>
      <c r="F158" s="2"/>
    </row>
    <row r="159" spans="1:6" ht="56.25" x14ac:dyDescent="0.25">
      <c r="A159" s="54" t="s">
        <v>34</v>
      </c>
      <c r="B159" s="58">
        <v>244</v>
      </c>
      <c r="C159" s="58">
        <v>296</v>
      </c>
      <c r="D159" s="5">
        <f t="shared" si="18"/>
        <v>0</v>
      </c>
      <c r="E159" s="2"/>
      <c r="F159" s="2"/>
    </row>
    <row r="160" spans="1:6" ht="56.25" x14ac:dyDescent="0.25">
      <c r="A160" s="54" t="s">
        <v>35</v>
      </c>
      <c r="B160" s="58">
        <v>244</v>
      </c>
      <c r="C160" s="58">
        <v>297</v>
      </c>
      <c r="D160" s="5">
        <f t="shared" si="18"/>
        <v>0</v>
      </c>
      <c r="E160" s="2"/>
      <c r="F160" s="2"/>
    </row>
    <row r="161" spans="1:6" ht="56.25" x14ac:dyDescent="0.25">
      <c r="A161" s="54" t="s">
        <v>59</v>
      </c>
      <c r="B161" s="58" t="s">
        <v>5</v>
      </c>
      <c r="C161" s="58">
        <v>300</v>
      </c>
      <c r="D161" s="5">
        <f t="shared" si="18"/>
        <v>290000</v>
      </c>
      <c r="E161" s="2">
        <f>E163+E165+E164</f>
        <v>290000</v>
      </c>
      <c r="F161" s="2">
        <f>F163+F165+F164</f>
        <v>0</v>
      </c>
    </row>
    <row r="162" spans="1:6" ht="18.75" x14ac:dyDescent="0.25">
      <c r="A162" s="54" t="s">
        <v>9</v>
      </c>
      <c r="B162" s="58"/>
      <c r="C162" s="58"/>
      <c r="D162" s="5"/>
      <c r="E162" s="2"/>
      <c r="F162" s="2"/>
    </row>
    <row r="163" spans="1:6" ht="56.25" x14ac:dyDescent="0.25">
      <c r="A163" s="54" t="s">
        <v>36</v>
      </c>
      <c r="B163" s="58">
        <v>244</v>
      </c>
      <c r="C163" s="58">
        <v>310</v>
      </c>
      <c r="D163" s="5">
        <f t="shared" si="18"/>
        <v>0</v>
      </c>
      <c r="E163" s="2"/>
      <c r="F163" s="2"/>
    </row>
    <row r="164" spans="1:6" ht="75" x14ac:dyDescent="0.25">
      <c r="A164" s="54" t="s">
        <v>68</v>
      </c>
      <c r="B164" s="58">
        <v>244</v>
      </c>
      <c r="C164" s="58">
        <v>320</v>
      </c>
      <c r="D164" s="5">
        <f t="shared" si="18"/>
        <v>0</v>
      </c>
      <c r="E164" s="2"/>
      <c r="F164" s="2"/>
    </row>
    <row r="165" spans="1:6" ht="75" x14ac:dyDescent="0.25">
      <c r="A165" s="54" t="s">
        <v>60</v>
      </c>
      <c r="B165" s="58" t="s">
        <v>5</v>
      </c>
      <c r="C165" s="58">
        <v>340</v>
      </c>
      <c r="D165" s="5">
        <f t="shared" si="18"/>
        <v>290000</v>
      </c>
      <c r="E165" s="2">
        <f>E167+E168+E169+E170+E171+E172+E173+E174</f>
        <v>290000</v>
      </c>
      <c r="F165" s="2">
        <f>F167+F168+F169+F170+F171+F172+F174</f>
        <v>0</v>
      </c>
    </row>
    <row r="166" spans="1:6" ht="18.75" x14ac:dyDescent="0.25">
      <c r="A166" s="54" t="s">
        <v>6</v>
      </c>
      <c r="B166" s="58"/>
      <c r="C166" s="58"/>
      <c r="D166" s="5"/>
      <c r="E166" s="2"/>
      <c r="F166" s="2"/>
    </row>
    <row r="167" spans="1:6" ht="131.25" x14ac:dyDescent="0.25">
      <c r="A167" s="54" t="s">
        <v>37</v>
      </c>
      <c r="B167" s="58">
        <v>244</v>
      </c>
      <c r="C167" s="58">
        <v>341</v>
      </c>
      <c r="D167" s="5">
        <f t="shared" ref="D167:D174" si="24">E167+F167</f>
        <v>0</v>
      </c>
      <c r="E167" s="2"/>
      <c r="F167" s="2"/>
    </row>
    <row r="168" spans="1:6" ht="56.25" x14ac:dyDescent="0.25">
      <c r="A168" s="54" t="s">
        <v>38</v>
      </c>
      <c r="B168" s="58">
        <v>244</v>
      </c>
      <c r="C168" s="58">
        <v>342</v>
      </c>
      <c r="D168" s="5">
        <f t="shared" si="24"/>
        <v>0</v>
      </c>
      <c r="E168" s="2"/>
      <c r="F168" s="2"/>
    </row>
    <row r="169" spans="1:6" ht="75" x14ac:dyDescent="0.25">
      <c r="A169" s="54" t="s">
        <v>39</v>
      </c>
      <c r="B169" s="58">
        <v>244</v>
      </c>
      <c r="C169" s="58">
        <v>343</v>
      </c>
      <c r="D169" s="5">
        <f t="shared" si="24"/>
        <v>290000</v>
      </c>
      <c r="E169" s="2">
        <f>290000</f>
        <v>290000</v>
      </c>
      <c r="F169" s="2"/>
    </row>
    <row r="170" spans="1:6" ht="75" x14ac:dyDescent="0.25">
      <c r="A170" s="54" t="s">
        <v>40</v>
      </c>
      <c r="B170" s="58">
        <v>244</v>
      </c>
      <c r="C170" s="58">
        <v>344</v>
      </c>
      <c r="D170" s="5">
        <f t="shared" si="24"/>
        <v>0</v>
      </c>
      <c r="E170" s="2"/>
      <c r="F170" s="2"/>
    </row>
    <row r="171" spans="1:6" ht="56.25" x14ac:dyDescent="0.25">
      <c r="A171" s="54" t="s">
        <v>41</v>
      </c>
      <c r="B171" s="58">
        <v>244</v>
      </c>
      <c r="C171" s="58">
        <v>345</v>
      </c>
      <c r="D171" s="5">
        <f t="shared" si="24"/>
        <v>0</v>
      </c>
      <c r="E171" s="2"/>
      <c r="F171" s="2"/>
    </row>
    <row r="172" spans="1:6" ht="75" x14ac:dyDescent="0.25">
      <c r="A172" s="54" t="s">
        <v>42</v>
      </c>
      <c r="B172" s="58">
        <v>244</v>
      </c>
      <c r="C172" s="58">
        <v>346</v>
      </c>
      <c r="D172" s="5">
        <f>E172+F172</f>
        <v>0</v>
      </c>
      <c r="E172" s="2"/>
      <c r="F172" s="2"/>
    </row>
    <row r="173" spans="1:6" ht="112.5" x14ac:dyDescent="0.25">
      <c r="A173" s="170" t="s">
        <v>341</v>
      </c>
      <c r="B173" s="171">
        <v>244</v>
      </c>
      <c r="C173" s="171">
        <v>347</v>
      </c>
      <c r="D173" s="5">
        <f>E173+F173</f>
        <v>0</v>
      </c>
      <c r="E173" s="2"/>
      <c r="F173" s="2"/>
    </row>
    <row r="174" spans="1:6" ht="112.5" x14ac:dyDescent="0.25">
      <c r="A174" s="54" t="s">
        <v>43</v>
      </c>
      <c r="B174" s="58">
        <v>244</v>
      </c>
      <c r="C174" s="58">
        <v>349</v>
      </c>
      <c r="D174" s="5">
        <f t="shared" si="24"/>
        <v>0</v>
      </c>
      <c r="E174" s="2"/>
      <c r="F174" s="2"/>
    </row>
    <row r="175" spans="1:6" ht="18.75" x14ac:dyDescent="0.25">
      <c r="A175" s="229" t="s">
        <v>202</v>
      </c>
      <c r="B175" s="230"/>
      <c r="C175" s="230"/>
      <c r="D175" s="230"/>
      <c r="E175" s="230"/>
      <c r="F175" s="231"/>
    </row>
    <row r="176" spans="1:6" ht="18.75" x14ac:dyDescent="0.25">
      <c r="A176" s="54" t="s">
        <v>8</v>
      </c>
      <c r="B176" s="58" t="s">
        <v>5</v>
      </c>
      <c r="C176" s="58">
        <v>200</v>
      </c>
      <c r="D176" s="5">
        <f t="shared" ref="D176" si="25">E176+F176</f>
        <v>70563411.099999994</v>
      </c>
      <c r="E176" s="2">
        <f>E178+E181+E204</f>
        <v>70563411.099999994</v>
      </c>
      <c r="F176" s="2">
        <f>F178+F181+F204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75" x14ac:dyDescent="0.25">
      <c r="A178" s="54" t="s">
        <v>10</v>
      </c>
      <c r="B178" s="58" t="s">
        <v>5</v>
      </c>
      <c r="C178" s="58">
        <v>210</v>
      </c>
      <c r="D178" s="5">
        <f t="shared" ref="D178" si="26">E178+F178</f>
        <v>0</v>
      </c>
      <c r="E178" s="2">
        <f>E180</f>
        <v>0</v>
      </c>
      <c r="F178" s="2">
        <f>F180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93.75" x14ac:dyDescent="0.25">
      <c r="A180" s="54" t="s">
        <v>201</v>
      </c>
      <c r="B180" s="58">
        <v>244</v>
      </c>
      <c r="C180" s="58">
        <v>214</v>
      </c>
      <c r="D180" s="5">
        <f>E180+F180</f>
        <v>0</v>
      </c>
      <c r="E180" s="70">
        <f>E31-E133</f>
        <v>0</v>
      </c>
      <c r="F180" s="2"/>
    </row>
    <row r="181" spans="1:6" ht="37.5" x14ac:dyDescent="0.25">
      <c r="A181" s="54" t="s">
        <v>14</v>
      </c>
      <c r="B181" s="58" t="s">
        <v>5</v>
      </c>
      <c r="C181" s="58">
        <v>220</v>
      </c>
      <c r="D181" s="5">
        <f t="shared" ref="D181" si="27">E181+F181</f>
        <v>70563411.099999994</v>
      </c>
      <c r="E181" s="2">
        <f>E183+E184+E185+E195+E196+E199+E202</f>
        <v>70563411.099999994</v>
      </c>
      <c r="F181" s="2">
        <f>F183+F184+F185+F195+F196+F199+F202</f>
        <v>0</v>
      </c>
    </row>
    <row r="182" spans="1:6" ht="18.75" x14ac:dyDescent="0.25">
      <c r="A182" s="54" t="s">
        <v>9</v>
      </c>
      <c r="B182" s="58"/>
      <c r="C182" s="58"/>
      <c r="D182" s="5"/>
      <c r="E182" s="2"/>
      <c r="F182" s="2"/>
    </row>
    <row r="183" spans="1:6" ht="18.75" x14ac:dyDescent="0.25">
      <c r="A183" s="54" t="s">
        <v>15</v>
      </c>
      <c r="B183" s="58">
        <v>244</v>
      </c>
      <c r="C183" s="58">
        <v>221</v>
      </c>
      <c r="D183" s="5">
        <f t="shared" ref="D183:D185" si="28">E183+F183</f>
        <v>1622444.37</v>
      </c>
      <c r="E183" s="2">
        <f>E34-E136</f>
        <v>1622444.37</v>
      </c>
      <c r="F183" s="2"/>
    </row>
    <row r="184" spans="1:6" ht="37.5" x14ac:dyDescent="0.25">
      <c r="A184" s="54" t="s">
        <v>16</v>
      </c>
      <c r="B184" s="58">
        <v>244</v>
      </c>
      <c r="C184" s="58">
        <v>222</v>
      </c>
      <c r="D184" s="5">
        <f t="shared" si="28"/>
        <v>0</v>
      </c>
      <c r="E184" s="70">
        <f>E37-E137</f>
        <v>0</v>
      </c>
      <c r="F184" s="2"/>
    </row>
    <row r="185" spans="1:6" ht="37.5" x14ac:dyDescent="0.25">
      <c r="A185" s="54" t="s">
        <v>17</v>
      </c>
      <c r="B185" s="58" t="s">
        <v>5</v>
      </c>
      <c r="C185" s="58">
        <v>223</v>
      </c>
      <c r="D185" s="5">
        <f t="shared" si="28"/>
        <v>36852964.499999993</v>
      </c>
      <c r="E185" s="2">
        <f t="shared" ref="E185:F185" si="29">E187+E189+E191+E192+E193</f>
        <v>36852964.499999993</v>
      </c>
      <c r="F185" s="2">
        <f t="shared" si="29"/>
        <v>0</v>
      </c>
    </row>
    <row r="186" spans="1:6" ht="18.75" x14ac:dyDescent="0.25">
      <c r="A186" s="54" t="s">
        <v>6</v>
      </c>
      <c r="B186" s="58"/>
      <c r="C186" s="58"/>
      <c r="D186" s="5"/>
      <c r="E186" s="2"/>
      <c r="F186" s="2"/>
    </row>
    <row r="187" spans="1:6" ht="56.25" x14ac:dyDescent="0.25">
      <c r="A187" s="54" t="s">
        <v>18</v>
      </c>
      <c r="B187" s="58">
        <v>244</v>
      </c>
      <c r="C187" s="58">
        <v>223</v>
      </c>
      <c r="D187" s="5">
        <f t="shared" ref="D187:D195" si="30">E187+F187</f>
        <v>0</v>
      </c>
      <c r="E187" s="2">
        <f t="shared" ref="E187:E195" si="31">E41-E140</f>
        <v>0</v>
      </c>
      <c r="F187" s="2"/>
    </row>
    <row r="188" spans="1:6" ht="37.5" x14ac:dyDescent="0.25">
      <c r="A188" s="200" t="s">
        <v>19</v>
      </c>
      <c r="B188" s="201">
        <v>244</v>
      </c>
      <c r="C188" s="201">
        <v>223</v>
      </c>
      <c r="D188" s="5">
        <f t="shared" ref="D188" si="32">E188+F188</f>
        <v>0</v>
      </c>
      <c r="E188" s="2">
        <f t="shared" si="31"/>
        <v>0</v>
      </c>
      <c r="F188" s="2"/>
    </row>
    <row r="189" spans="1:6" ht="37.5" x14ac:dyDescent="0.25">
      <c r="A189" s="54" t="s">
        <v>19</v>
      </c>
      <c r="B189" s="58">
        <v>247</v>
      </c>
      <c r="C189" s="58">
        <v>223</v>
      </c>
      <c r="D189" s="5">
        <f t="shared" si="30"/>
        <v>3698478.08</v>
      </c>
      <c r="E189" s="2">
        <f t="shared" si="31"/>
        <v>3698478.08</v>
      </c>
      <c r="F189" s="2"/>
    </row>
    <row r="190" spans="1:6" ht="75" x14ac:dyDescent="0.25">
      <c r="A190" s="200" t="s">
        <v>20</v>
      </c>
      <c r="B190" s="201">
        <v>244</v>
      </c>
      <c r="C190" s="201">
        <v>223</v>
      </c>
      <c r="D190" s="5">
        <f t="shared" ref="D190" si="33">E190+F190</f>
        <v>0</v>
      </c>
      <c r="E190" s="2">
        <f t="shared" si="31"/>
        <v>0</v>
      </c>
      <c r="F190" s="2"/>
    </row>
    <row r="191" spans="1:6" ht="75" x14ac:dyDescent="0.25">
      <c r="A191" s="54" t="s">
        <v>20</v>
      </c>
      <c r="B191" s="58">
        <v>247</v>
      </c>
      <c r="C191" s="58">
        <v>223</v>
      </c>
      <c r="D191" s="5">
        <f t="shared" si="30"/>
        <v>25841332.859999999</v>
      </c>
      <c r="E191" s="2">
        <f t="shared" si="31"/>
        <v>25841332.859999999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6704866.3300000001</v>
      </c>
      <c r="E192" s="2">
        <f t="shared" si="31"/>
        <v>6704866.3300000001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608287.23</v>
      </c>
      <c r="E193" s="2">
        <f t="shared" si="31"/>
        <v>608287.23</v>
      </c>
      <c r="F193" s="2"/>
    </row>
    <row r="194" spans="1:6" ht="56.25" x14ac:dyDescent="0.25">
      <c r="A194" s="194" t="s">
        <v>436</v>
      </c>
      <c r="B194" s="195">
        <v>244</v>
      </c>
      <c r="C194" s="195">
        <v>223</v>
      </c>
      <c r="D194" s="5">
        <f t="shared" ref="D194" si="34">E194+F194</f>
        <v>37000</v>
      </c>
      <c r="E194" s="2">
        <f t="shared" si="31"/>
        <v>37000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 t="shared" si="31"/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5">D197+D198</f>
        <v>25068382.68</v>
      </c>
      <c r="E196" s="2">
        <f>E197+E198</f>
        <v>25068382.68</v>
      </c>
      <c r="F196" s="2">
        <f t="shared" ref="F196" si="36">F197+F198</f>
        <v>0</v>
      </c>
    </row>
    <row r="197" spans="1:6" ht="18.75" x14ac:dyDescent="0.25">
      <c r="A197" s="224" t="s">
        <v>6</v>
      </c>
      <c r="B197" s="58">
        <v>243</v>
      </c>
      <c r="C197" s="58">
        <v>225</v>
      </c>
      <c r="D197" s="5">
        <f t="shared" ref="D197:D208" si="37">E197+F197</f>
        <v>0</v>
      </c>
      <c r="E197" s="2">
        <f>E51-E150</f>
        <v>0</v>
      </c>
      <c r="F197" s="2"/>
    </row>
    <row r="198" spans="1:6" ht="18.75" x14ac:dyDescent="0.25">
      <c r="A198" s="224"/>
      <c r="B198" s="58">
        <v>244</v>
      </c>
      <c r="C198" s="58">
        <v>225</v>
      </c>
      <c r="D198" s="5">
        <f t="shared" si="37"/>
        <v>25068382.68</v>
      </c>
      <c r="E198" s="2">
        <f>E52-E151</f>
        <v>25068382.68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7"/>
        <v>6994551.9299999997</v>
      </c>
      <c r="E199" s="2">
        <f>E200+E201</f>
        <v>6994551.9299999997</v>
      </c>
      <c r="F199" s="2">
        <f>F200+F201</f>
        <v>0</v>
      </c>
    </row>
    <row r="200" spans="1:6" ht="18.75" x14ac:dyDescent="0.25">
      <c r="A200" s="224" t="s">
        <v>6</v>
      </c>
      <c r="B200" s="58">
        <v>243</v>
      </c>
      <c r="C200" s="58">
        <v>226</v>
      </c>
      <c r="D200" s="5">
        <f t="shared" si="37"/>
        <v>0</v>
      </c>
      <c r="E200" s="2">
        <f>E57-E153</f>
        <v>0</v>
      </c>
      <c r="F200" s="2"/>
    </row>
    <row r="201" spans="1:6" ht="18.75" x14ac:dyDescent="0.25">
      <c r="A201" s="224"/>
      <c r="B201" s="58">
        <v>244</v>
      </c>
      <c r="C201" s="58">
        <v>226</v>
      </c>
      <c r="D201" s="5">
        <f t="shared" si="37"/>
        <v>6994551.9299999997</v>
      </c>
      <c r="E201" s="2">
        <f>E58-E154</f>
        <v>6994551.9299999997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7"/>
        <v>25067.62</v>
      </c>
      <c r="E202" s="2">
        <f>E60-E155</f>
        <v>25067.62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 t="shared" si="37"/>
        <v>0</v>
      </c>
      <c r="E203" s="2">
        <f>E61-E156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7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7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7"/>
        <v>0</v>
      </c>
      <c r="E206" s="2">
        <f>E82-E159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7"/>
        <v>0</v>
      </c>
      <c r="E207" s="2">
        <f>E89-E160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7"/>
        <v>12238286.93</v>
      </c>
      <c r="E208" s="2">
        <f>E210+E212+E211</f>
        <v>12238286.93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8">E210+F210</f>
        <v>0</v>
      </c>
      <c r="E210" s="2">
        <f>E95-E163</f>
        <v>0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8"/>
        <v>2796500</v>
      </c>
      <c r="E211" s="2">
        <f>E96-E164</f>
        <v>2796500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8"/>
        <v>9441786.9299999997</v>
      </c>
      <c r="E212" s="2">
        <f>E214+E215+E216+E217+E218+E219+E220+E221</f>
        <v>9441786.9299999997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9">E214+F214</f>
        <v>0</v>
      </c>
      <c r="E214" s="2">
        <f t="shared" ref="E214:E220" si="40">E99-E167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9"/>
        <v>0</v>
      </c>
      <c r="E215" s="2">
        <f t="shared" si="40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9"/>
        <v>0</v>
      </c>
      <c r="E216" s="2">
        <f t="shared" si="40"/>
        <v>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9"/>
        <v>200000</v>
      </c>
      <c r="E217" s="2">
        <f t="shared" si="40"/>
        <v>200000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9"/>
        <v>664128.31000000006</v>
      </c>
      <c r="E218" s="2">
        <f t="shared" si="40"/>
        <v>664128.31000000006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>E219+F219</f>
        <v>8428958.6199999992</v>
      </c>
      <c r="E219" s="2">
        <f t="shared" si="40"/>
        <v>8428958.6199999992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>E220+F220</f>
        <v>0</v>
      </c>
      <c r="E220" s="2">
        <f t="shared" si="40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9"/>
        <v>148700</v>
      </c>
      <c r="E221" s="2">
        <f t="shared" ref="E221" si="41">E106-E174</f>
        <v>148700</v>
      </c>
      <c r="F221" s="2"/>
    </row>
  </sheetData>
  <mergeCells count="35">
    <mergeCell ref="D5:D6"/>
    <mergeCell ref="E5:F5"/>
    <mergeCell ref="A1:F1"/>
    <mergeCell ref="A2:F2"/>
    <mergeCell ref="A82:A87"/>
    <mergeCell ref="A54:A59"/>
    <mergeCell ref="A89:A92"/>
    <mergeCell ref="B114:C114"/>
    <mergeCell ref="A5:A6"/>
    <mergeCell ref="B5:B6"/>
    <mergeCell ref="C5:C6"/>
    <mergeCell ref="A36:A37"/>
    <mergeCell ref="A51:A52"/>
    <mergeCell ref="A68:A69"/>
    <mergeCell ref="A75:A77"/>
    <mergeCell ref="A30:A31"/>
    <mergeCell ref="E114:F114"/>
    <mergeCell ref="B115:C115"/>
    <mergeCell ref="E115:F115"/>
    <mergeCell ref="B117:C117"/>
    <mergeCell ref="E117:F117"/>
    <mergeCell ref="A197:A198"/>
    <mergeCell ref="A200:A201"/>
    <mergeCell ref="A123:B123"/>
    <mergeCell ref="B118:C118"/>
    <mergeCell ref="E118:F118"/>
    <mergeCell ref="B120:C120"/>
    <mergeCell ref="E120:F120"/>
    <mergeCell ref="B121:C121"/>
    <mergeCell ref="E121:F121"/>
    <mergeCell ref="A124:F124"/>
    <mergeCell ref="A128:F128"/>
    <mergeCell ref="A150:A151"/>
    <mergeCell ref="A153:A154"/>
    <mergeCell ref="A175:F175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4" max="5" man="1"/>
    <brk id="82" max="5" man="1"/>
    <brk id="105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7"/>
  <sheetViews>
    <sheetView view="pageBreakPreview" topLeftCell="A114" zoomScale="85" zoomScaleNormal="85" zoomScaleSheetLayoutView="85" workbookViewId="0">
      <selection activeCell="E150" sqref="E15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40" t="s">
        <v>264</v>
      </c>
      <c r="B1" s="240"/>
      <c r="C1" s="240"/>
      <c r="D1" s="240"/>
      <c r="E1" s="240"/>
      <c r="F1" s="240"/>
      <c r="G1" s="240"/>
      <c r="H1" s="240"/>
      <c r="I1" s="240"/>
      <c r="J1" s="118"/>
      <c r="K1" s="118"/>
      <c r="L1" s="118"/>
    </row>
    <row r="2" spans="1:12" ht="18.75" x14ac:dyDescent="0.25">
      <c r="A2" s="240" t="s">
        <v>484</v>
      </c>
      <c r="B2" s="240"/>
      <c r="C2" s="240"/>
      <c r="D2" s="240"/>
      <c r="E2" s="240"/>
      <c r="F2" s="240"/>
      <c r="G2" s="240"/>
      <c r="H2" s="240"/>
      <c r="I2" s="240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450</v>
      </c>
      <c r="F5" s="234"/>
      <c r="G5" s="234" t="s">
        <v>1</v>
      </c>
      <c r="H5" s="234" t="s">
        <v>487</v>
      </c>
      <c r="I5" s="234"/>
      <c r="J5" s="73"/>
      <c r="K5" s="73"/>
      <c r="L5" s="73"/>
    </row>
    <row r="6" spans="1:12" ht="95.2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5" si="0">E9+F9</f>
        <v>0</v>
      </c>
      <c r="E9" s="5">
        <f>E8+E10-E20+E107</f>
        <v>0</v>
      </c>
      <c r="F9" s="5">
        <f>F8+F10-F20+F107</f>
        <v>0</v>
      </c>
      <c r="G9" s="5">
        <f t="shared" ref="G9:G10" si="1">H9+I9</f>
        <v>0</v>
      </c>
      <c r="H9" s="5">
        <f>H8+H10-H20+H107</f>
        <v>0</v>
      </c>
      <c r="I9" s="5">
        <f>I8+I10-I20+I107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166149847.15000001</v>
      </c>
      <c r="E10" s="2">
        <f>E12+E16</f>
        <v>166149847.15000001</v>
      </c>
      <c r="F10" s="2">
        <f>F12+F16+F102</f>
        <v>0</v>
      </c>
      <c r="G10" s="5">
        <f t="shared" si="1"/>
        <v>166149845.66999999</v>
      </c>
      <c r="H10" s="2">
        <f>H12+H16</f>
        <v>166149845.66999999</v>
      </c>
      <c r="I10" s="4">
        <f>I12+I16+I102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461</v>
      </c>
      <c r="B12" s="119">
        <v>130</v>
      </c>
      <c r="C12" s="119" t="s">
        <v>5</v>
      </c>
      <c r="D12" s="5">
        <f t="shared" si="0"/>
        <v>166149847.15000001</v>
      </c>
      <c r="E12" s="2">
        <v>166149847.15000001</v>
      </c>
      <c r="F12" s="2">
        <v>0</v>
      </c>
      <c r="G12" s="5">
        <f t="shared" ref="G12:G16" si="2">H12+I12</f>
        <v>166149845.66999999</v>
      </c>
      <c r="H12" s="2">
        <v>166149845.66999999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462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166149847.15000001</v>
      </c>
      <c r="E20" s="2">
        <f>E22+E93</f>
        <v>166149847.15000001</v>
      </c>
      <c r="F20" s="2">
        <f>F22+F93</f>
        <v>0</v>
      </c>
      <c r="G20" s="5">
        <f t="shared" si="9"/>
        <v>166149845.66999999</v>
      </c>
      <c r="H20" s="2">
        <f>H22+H93</f>
        <v>166149845.66999999</v>
      </c>
      <c r="I20" s="2">
        <f>I22+I93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156747943.53</v>
      </c>
      <c r="E22" s="2">
        <f>E24+E32+E63+E72</f>
        <v>156747943.53</v>
      </c>
      <c r="F22" s="2">
        <f>F24+F32+F63+F72</f>
        <v>0</v>
      </c>
      <c r="G22" s="5">
        <f t="shared" ref="G22" si="10">H22+I22</f>
        <v>156747942.04999998</v>
      </c>
      <c r="H22" s="2">
        <f>H24+H32+H63+H72</f>
        <v>156747942.04999998</v>
      </c>
      <c r="I22" s="2">
        <f>I24+I32+I63+I72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8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9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77069949.260000005</v>
      </c>
      <c r="E32" s="2">
        <f>E34+E35+E38+E49+E50+E53+E60+E61</f>
        <v>77069949.260000005</v>
      </c>
      <c r="F32" s="2">
        <f>F34+F35+F38+F49+F50+F53+F60</f>
        <v>0</v>
      </c>
      <c r="G32" s="5">
        <f t="shared" ref="G32" si="16">H32+I32</f>
        <v>77069947.780000001</v>
      </c>
      <c r="H32" s="2">
        <f>H34+H35+H38+H49+H50+H53+H60+H61</f>
        <v>77069947.780000001</v>
      </c>
      <c r="I32" s="2">
        <f>I34+I35+I38+I49+I50+I53+I60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37574784.590000004</v>
      </c>
      <c r="E38" s="2">
        <f t="shared" ref="E38" si="18">E41+E43+E45+E46+E47</f>
        <v>37574784.590000004</v>
      </c>
      <c r="F38" s="2">
        <f t="shared" ref="F38" si="19">F41+F43+F45+F46+F47</f>
        <v>0</v>
      </c>
      <c r="G38" s="5">
        <f t="shared" si="17"/>
        <v>37574784.590000004</v>
      </c>
      <c r="H38" s="2">
        <f t="shared" ref="H38" si="20">H41+H43+H45+H46+H47</f>
        <v>37574784.590000004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3771002.76</v>
      </c>
      <c r="E43" s="2">
        <v>3771002.76</v>
      </c>
      <c r="F43" s="2">
        <v>0</v>
      </c>
      <c r="G43" s="5">
        <f t="shared" si="24"/>
        <v>3771002.76</v>
      </c>
      <c r="H43" s="2">
        <v>3771002.76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436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3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4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E54+E55+E57+E58+E56+E59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H54+H55+H57+H58+H56+H59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41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42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42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42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42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243"/>
      <c r="B59" s="221">
        <v>323</v>
      </c>
      <c r="C59" s="221">
        <v>226</v>
      </c>
      <c r="D59" s="5"/>
      <c r="E59" s="2"/>
      <c r="F59" s="2"/>
      <c r="G59" s="5"/>
      <c r="H59" s="2"/>
      <c r="I59" s="2"/>
      <c r="J59" s="36"/>
      <c r="K59" s="36"/>
      <c r="L59" s="36"/>
    </row>
    <row r="60" spans="1:12" ht="18.75" x14ac:dyDescent="0.25">
      <c r="A60" s="115" t="s">
        <v>25</v>
      </c>
      <c r="B60" s="119">
        <v>244</v>
      </c>
      <c r="C60" s="119">
        <v>227</v>
      </c>
      <c r="D60" s="5">
        <f t="shared" si="0"/>
        <v>5067.62</v>
      </c>
      <c r="E60" s="2">
        <v>5067.62</v>
      </c>
      <c r="F60" s="2">
        <v>0</v>
      </c>
      <c r="G60" s="5">
        <f t="shared" si="34"/>
        <v>5067.62</v>
      </c>
      <c r="H60" s="2">
        <v>5067.62</v>
      </c>
      <c r="I60" s="2">
        <v>0</v>
      </c>
      <c r="J60" s="36"/>
      <c r="K60" s="36"/>
      <c r="L60" s="36"/>
    </row>
    <row r="61" spans="1:12" ht="56.25" x14ac:dyDescent="0.25">
      <c r="A61" s="170" t="s">
        <v>340</v>
      </c>
      <c r="B61" s="171">
        <v>244</v>
      </c>
      <c r="C61" s="171">
        <v>228</v>
      </c>
      <c r="D61" s="5">
        <f t="shared" ref="D61" si="35">E61+F61</f>
        <v>0</v>
      </c>
      <c r="E61" s="2">
        <v>0</v>
      </c>
      <c r="F61" s="2">
        <v>0</v>
      </c>
      <c r="G61" s="5">
        <f t="shared" ref="G61" si="36">H61+I61</f>
        <v>0</v>
      </c>
      <c r="H61" s="2">
        <v>0</v>
      </c>
      <c r="I61" s="2">
        <v>0</v>
      </c>
      <c r="J61" s="36"/>
      <c r="K61" s="36"/>
      <c r="L61" s="36"/>
    </row>
    <row r="62" spans="1:12" ht="150" x14ac:dyDescent="0.25">
      <c r="A62" s="219" t="s">
        <v>490</v>
      </c>
      <c r="B62" s="220">
        <v>244</v>
      </c>
      <c r="C62" s="220">
        <v>229</v>
      </c>
      <c r="D62" s="5">
        <f t="shared" ref="D62" si="37">E62+F62</f>
        <v>0</v>
      </c>
      <c r="E62" s="2">
        <v>0</v>
      </c>
      <c r="F62" s="2">
        <v>0</v>
      </c>
      <c r="G62" s="5">
        <f t="shared" ref="G62" si="38">H62+I62</f>
        <v>0</v>
      </c>
      <c r="H62" s="2">
        <v>0</v>
      </c>
      <c r="I62" s="2">
        <v>0</v>
      </c>
      <c r="J62" s="36"/>
      <c r="K62" s="36"/>
      <c r="L62" s="36"/>
    </row>
    <row r="63" spans="1:12" ht="37.5" x14ac:dyDescent="0.25">
      <c r="A63" s="115" t="s">
        <v>26</v>
      </c>
      <c r="B63" s="119" t="s">
        <v>5</v>
      </c>
      <c r="C63" s="119">
        <v>260</v>
      </c>
      <c r="D63" s="5">
        <f t="shared" si="0"/>
        <v>49999.92</v>
      </c>
      <c r="E63" s="2">
        <f>E64+E65+E66+E67+E71</f>
        <v>49999.92</v>
      </c>
      <c r="F63" s="2">
        <f>F65+F67+F71</f>
        <v>0</v>
      </c>
      <c r="G63" s="5">
        <f t="shared" si="34"/>
        <v>49999.92</v>
      </c>
      <c r="H63" s="2">
        <f>H64+H65+H66+H67+H71</f>
        <v>49999.92</v>
      </c>
      <c r="I63" s="2">
        <f>I65+I67+I71</f>
        <v>0</v>
      </c>
      <c r="J63" s="36"/>
      <c r="K63" s="36"/>
      <c r="L63" s="36"/>
    </row>
    <row r="64" spans="1:12" ht="93.75" x14ac:dyDescent="0.25">
      <c r="A64" s="212" t="s">
        <v>479</v>
      </c>
      <c r="B64" s="213">
        <v>323</v>
      </c>
      <c r="C64" s="213">
        <v>263</v>
      </c>
      <c r="D64" s="5"/>
      <c r="E64" s="2"/>
      <c r="F64" s="2"/>
      <c r="G64" s="5"/>
      <c r="H64" s="2"/>
      <c r="I64" s="2"/>
      <c r="J64" s="36"/>
      <c r="K64" s="36"/>
      <c r="L64" s="36"/>
    </row>
    <row r="65" spans="1:12" ht="112.5" x14ac:dyDescent="0.25">
      <c r="A65" s="115" t="s">
        <v>27</v>
      </c>
      <c r="B65" s="119">
        <v>321</v>
      </c>
      <c r="C65" s="119">
        <v>264</v>
      </c>
      <c r="D65" s="5">
        <f t="shared" si="0"/>
        <v>0</v>
      </c>
      <c r="E65" s="2">
        <v>0</v>
      </c>
      <c r="F65" s="2">
        <v>0</v>
      </c>
      <c r="G65" s="5">
        <f t="shared" si="34"/>
        <v>0</v>
      </c>
      <c r="H65" s="2">
        <v>0</v>
      </c>
      <c r="I65" s="2">
        <v>0</v>
      </c>
      <c r="J65" s="36"/>
      <c r="K65" s="36"/>
      <c r="L65" s="36"/>
    </row>
    <row r="66" spans="1:12" ht="168.75" x14ac:dyDescent="0.25">
      <c r="A66" s="192" t="s">
        <v>435</v>
      </c>
      <c r="B66" s="193">
        <v>119</v>
      </c>
      <c r="C66" s="193">
        <v>265</v>
      </c>
      <c r="D66" s="5">
        <f t="shared" si="0"/>
        <v>0</v>
      </c>
      <c r="E66" s="2">
        <v>0</v>
      </c>
      <c r="F66" s="2">
        <v>0</v>
      </c>
      <c r="G66" s="5">
        <f t="shared" si="34"/>
        <v>0</v>
      </c>
      <c r="H66" s="2">
        <v>0</v>
      </c>
      <c r="I66" s="2">
        <v>0</v>
      </c>
      <c r="J66" s="36"/>
      <c r="K66" s="36"/>
      <c r="L66" s="36"/>
    </row>
    <row r="67" spans="1:12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49999.92</v>
      </c>
      <c r="E67" s="2">
        <f t="shared" ref="E67" si="39">E68+E69</f>
        <v>49999.92</v>
      </c>
      <c r="F67" s="2">
        <f t="shared" ref="F67" si="40">F68+F69</f>
        <v>0</v>
      </c>
      <c r="G67" s="5">
        <f t="shared" si="34"/>
        <v>49999.92</v>
      </c>
      <c r="H67" s="2">
        <f t="shared" ref="H67" si="41">H68+H69</f>
        <v>49999.92</v>
      </c>
      <c r="I67" s="2">
        <f t="shared" ref="I67" si="42">I68+I69</f>
        <v>0</v>
      </c>
      <c r="J67" s="36"/>
      <c r="K67" s="36"/>
      <c r="L67" s="36"/>
    </row>
    <row r="68" spans="1:12" ht="18.75" x14ac:dyDescent="0.25">
      <c r="A68" s="224" t="s">
        <v>6</v>
      </c>
      <c r="B68" s="119">
        <v>111</v>
      </c>
      <c r="C68" s="119">
        <v>266</v>
      </c>
      <c r="D68" s="5">
        <f t="shared" si="0"/>
        <v>49999.92</v>
      </c>
      <c r="E68" s="2">
        <v>49999.92</v>
      </c>
      <c r="F68" s="2">
        <v>0</v>
      </c>
      <c r="G68" s="5">
        <f t="shared" si="34"/>
        <v>49999.92</v>
      </c>
      <c r="H68" s="2">
        <v>49999.92</v>
      </c>
      <c r="I68" s="2">
        <v>0</v>
      </c>
      <c r="J68" s="36"/>
      <c r="K68" s="36"/>
      <c r="L68" s="36"/>
    </row>
    <row r="69" spans="1:12" ht="18.75" x14ac:dyDescent="0.25">
      <c r="A69" s="224"/>
      <c r="B69" s="119">
        <v>112</v>
      </c>
      <c r="C69" s="119">
        <v>266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212"/>
      <c r="B70" s="213">
        <v>119</v>
      </c>
      <c r="C70" s="213">
        <v>266</v>
      </c>
      <c r="D70" s="5">
        <f t="shared" ref="D70" si="43">E70+F70</f>
        <v>0</v>
      </c>
      <c r="E70" s="2">
        <v>0</v>
      </c>
      <c r="F70" s="2">
        <v>0</v>
      </c>
      <c r="G70" s="5">
        <f t="shared" ref="G70" si="44">H70+I70</f>
        <v>0</v>
      </c>
      <c r="H70" s="2">
        <v>0</v>
      </c>
      <c r="I70" s="2">
        <v>0</v>
      </c>
      <c r="J70" s="36"/>
      <c r="K70" s="36"/>
      <c r="L70" s="36"/>
    </row>
    <row r="71" spans="1:12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">
        <v>0</v>
      </c>
      <c r="F71" s="2">
        <v>0</v>
      </c>
      <c r="G71" s="5">
        <f t="shared" si="34"/>
        <v>0</v>
      </c>
      <c r="H71" s="2">
        <v>0</v>
      </c>
      <c r="I71" s="2">
        <v>0</v>
      </c>
      <c r="J71" s="36"/>
      <c r="K71" s="36"/>
      <c r="L71" s="36"/>
    </row>
    <row r="72" spans="1:12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16914893.380000003</v>
      </c>
      <c r="E72" s="2">
        <f>E74+E78+E79+E80+E81+E88</f>
        <v>16914893.380000003</v>
      </c>
      <c r="F72" s="2">
        <f>F74+F78+F79+F80+F81+F88</f>
        <v>0</v>
      </c>
      <c r="G72" s="5">
        <f t="shared" si="34"/>
        <v>16914893.380000003</v>
      </c>
      <c r="H72" s="2">
        <f>H74+H78+H79+H80+H81+H88</f>
        <v>16914893.380000003</v>
      </c>
      <c r="I72" s="2">
        <f>I74+I78+I79+I80+I81+I88</f>
        <v>0</v>
      </c>
      <c r="J72" s="36"/>
      <c r="K72" s="36"/>
      <c r="L72" s="36"/>
    </row>
    <row r="73" spans="1:12" ht="18.75" x14ac:dyDescent="0.25">
      <c r="A73" s="115" t="s">
        <v>9</v>
      </c>
      <c r="B73" s="119"/>
      <c r="C73" s="119"/>
      <c r="D73" s="5">
        <f t="shared" si="0"/>
        <v>0</v>
      </c>
      <c r="E73" s="2"/>
      <c r="F73" s="2"/>
      <c r="G73" s="5">
        <f t="shared" si="34"/>
        <v>0</v>
      </c>
      <c r="H73" s="2"/>
      <c r="I73" s="2"/>
      <c r="J73" s="36"/>
      <c r="K73" s="36"/>
      <c r="L73" s="36"/>
    </row>
    <row r="74" spans="1:12" ht="37.5" x14ac:dyDescent="0.25">
      <c r="A74" s="115" t="s">
        <v>31</v>
      </c>
      <c r="B74" s="119" t="s">
        <v>5</v>
      </c>
      <c r="C74" s="119">
        <v>291</v>
      </c>
      <c r="D74" s="5">
        <f t="shared" si="0"/>
        <v>16914893.380000003</v>
      </c>
      <c r="E74" s="2">
        <f t="shared" ref="E74" si="45">E75+E76+E77</f>
        <v>16914893.380000003</v>
      </c>
      <c r="F74" s="2">
        <f t="shared" ref="F74" si="46">F75+F76+F77</f>
        <v>0</v>
      </c>
      <c r="G74" s="5">
        <f t="shared" si="34"/>
        <v>16914893.380000003</v>
      </c>
      <c r="H74" s="2">
        <f t="shared" ref="H74" si="47">H75+H76+H77</f>
        <v>16914893.380000003</v>
      </c>
      <c r="I74" s="2">
        <f t="shared" ref="I74" si="48">I75+I76+I77</f>
        <v>0</v>
      </c>
      <c r="J74" s="36"/>
      <c r="K74" s="36"/>
      <c r="L74" s="36"/>
    </row>
    <row r="75" spans="1:12" ht="18.75" x14ac:dyDescent="0.25">
      <c r="A75" s="224" t="s">
        <v>6</v>
      </c>
      <c r="B75" s="119">
        <v>851</v>
      </c>
      <c r="C75" s="119">
        <v>291</v>
      </c>
      <c r="D75" s="5">
        <f t="shared" si="0"/>
        <v>16863243.380000003</v>
      </c>
      <c r="E75" s="2">
        <f>7229283+9633960.38</f>
        <v>16863243.380000003</v>
      </c>
      <c r="F75" s="2">
        <v>0</v>
      </c>
      <c r="G75" s="5">
        <f t="shared" si="34"/>
        <v>16863243.380000003</v>
      </c>
      <c r="H75" s="2">
        <f>7229283+9633960.38</f>
        <v>16863243.380000003</v>
      </c>
      <c r="I75" s="2">
        <v>0</v>
      </c>
      <c r="J75" s="36"/>
      <c r="K75" s="36"/>
      <c r="L75" s="36"/>
    </row>
    <row r="76" spans="1:12" ht="57" customHeight="1" x14ac:dyDescent="0.25">
      <c r="A76" s="224"/>
      <c r="B76" s="119">
        <v>852</v>
      </c>
      <c r="C76" s="119">
        <v>291</v>
      </c>
      <c r="D76" s="5">
        <f t="shared" si="0"/>
        <v>51650</v>
      </c>
      <c r="E76" s="2">
        <v>51650</v>
      </c>
      <c r="F76" s="2">
        <v>0</v>
      </c>
      <c r="G76" s="5">
        <f t="shared" si="34"/>
        <v>51650</v>
      </c>
      <c r="H76" s="2">
        <v>51650</v>
      </c>
      <c r="I76" s="2">
        <v>0</v>
      </c>
      <c r="J76" s="36"/>
      <c r="K76" s="36"/>
      <c r="L76" s="36"/>
    </row>
    <row r="77" spans="1:12" ht="18.75" x14ac:dyDescent="0.25">
      <c r="A77" s="224"/>
      <c r="B77" s="119">
        <v>853</v>
      </c>
      <c r="C77" s="119">
        <v>291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112.5" x14ac:dyDescent="0.25">
      <c r="A78" s="115" t="s">
        <v>32</v>
      </c>
      <c r="B78" s="119">
        <v>853</v>
      </c>
      <c r="C78" s="119">
        <v>292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131.25" x14ac:dyDescent="0.25">
      <c r="A79" s="115" t="s">
        <v>33</v>
      </c>
      <c r="B79" s="119">
        <v>853</v>
      </c>
      <c r="C79" s="119">
        <v>293</v>
      </c>
      <c r="D79" s="5">
        <f t="shared" si="0"/>
        <v>0</v>
      </c>
      <c r="E79" s="2">
        <v>0</v>
      </c>
      <c r="F79" s="2">
        <v>0</v>
      </c>
      <c r="G79" s="5">
        <f t="shared" si="34"/>
        <v>0</v>
      </c>
      <c r="H79" s="2">
        <v>0</v>
      </c>
      <c r="I79" s="2">
        <v>0</v>
      </c>
      <c r="J79" s="36"/>
      <c r="K79" s="36"/>
      <c r="L79" s="36"/>
    </row>
    <row r="80" spans="1:12" ht="56.25" x14ac:dyDescent="0.25">
      <c r="A80" s="115" t="s">
        <v>158</v>
      </c>
      <c r="B80" s="119">
        <v>853</v>
      </c>
      <c r="C80" s="119">
        <v>295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56.25" x14ac:dyDescent="0.25">
      <c r="A81" s="115" t="s">
        <v>34</v>
      </c>
      <c r="B81" s="119" t="s">
        <v>5</v>
      </c>
      <c r="C81" s="119">
        <v>296</v>
      </c>
      <c r="D81" s="5">
        <f t="shared" si="0"/>
        <v>0</v>
      </c>
      <c r="E81" s="2">
        <f t="shared" ref="E81" si="49">E82+E83+E84+E85+E87</f>
        <v>0</v>
      </c>
      <c r="F81" s="2">
        <f t="shared" ref="F81" si="50">F82+F83+F84+F85+F87</f>
        <v>0</v>
      </c>
      <c r="G81" s="5">
        <f t="shared" si="34"/>
        <v>0</v>
      </c>
      <c r="H81" s="2">
        <f t="shared" ref="H81" si="51">H82+H83+H84+H85+H87</f>
        <v>0</v>
      </c>
      <c r="I81" s="2">
        <f t="shared" ref="I81" si="52">I82+I83+I84+I85+I87</f>
        <v>0</v>
      </c>
      <c r="J81" s="36"/>
      <c r="K81" s="36"/>
      <c r="L81" s="36"/>
    </row>
    <row r="82" spans="1:12" ht="18.75" x14ac:dyDescent="0.25">
      <c r="A82" s="224" t="s">
        <v>6</v>
      </c>
      <c r="B82" s="119">
        <v>244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4"/>
      <c r="B83" s="119">
        <v>340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4"/>
      <c r="B84" s="119">
        <v>350</v>
      </c>
      <c r="C84" s="119">
        <v>296</v>
      </c>
      <c r="D84" s="5">
        <f t="shared" si="0"/>
        <v>0</v>
      </c>
      <c r="E84" s="2">
        <v>0</v>
      </c>
      <c r="F84" s="2">
        <v>0</v>
      </c>
      <c r="G84" s="5">
        <f t="shared" si="34"/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4"/>
      <c r="B85" s="119">
        <v>360</v>
      </c>
      <c r="C85" s="119">
        <v>296</v>
      </c>
      <c r="D85" s="5">
        <f t="shared" si="0"/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18.75" x14ac:dyDescent="0.25">
      <c r="A86" s="224"/>
      <c r="B86" s="208">
        <v>831</v>
      </c>
      <c r="C86" s="208">
        <v>296</v>
      </c>
      <c r="D86" s="5">
        <f t="shared" ref="D86" si="53">E86+F86</f>
        <v>0</v>
      </c>
      <c r="E86" s="2">
        <v>0</v>
      </c>
      <c r="F86" s="2">
        <v>0</v>
      </c>
      <c r="G86" s="5">
        <f t="shared" ref="G86" si="54">H86+I86</f>
        <v>0</v>
      </c>
      <c r="H86" s="2">
        <v>0</v>
      </c>
      <c r="I86" s="2">
        <v>0</v>
      </c>
      <c r="J86" s="36"/>
      <c r="K86" s="36"/>
      <c r="L86" s="36"/>
    </row>
    <row r="87" spans="1:12" ht="18.75" x14ac:dyDescent="0.25">
      <c r="A87" s="224"/>
      <c r="B87" s="119">
        <v>853</v>
      </c>
      <c r="C87" s="119">
        <v>296</v>
      </c>
      <c r="D87" s="5">
        <f t="shared" ref="D87:D111" si="55">E87+F87</f>
        <v>0</v>
      </c>
      <c r="E87" s="2">
        <v>0</v>
      </c>
      <c r="F87" s="2">
        <v>0</v>
      </c>
      <c r="G87" s="5">
        <f t="shared" si="34"/>
        <v>0</v>
      </c>
      <c r="H87" s="2">
        <v>0</v>
      </c>
      <c r="I87" s="2">
        <v>0</v>
      </c>
      <c r="J87" s="36"/>
      <c r="K87" s="36"/>
      <c r="L87" s="36"/>
    </row>
    <row r="88" spans="1:12" ht="57.6" customHeight="1" x14ac:dyDescent="0.25">
      <c r="A88" s="115" t="s">
        <v>35</v>
      </c>
      <c r="B88" s="119" t="s">
        <v>5</v>
      </c>
      <c r="C88" s="119">
        <v>297</v>
      </c>
      <c r="D88" s="5">
        <f>E88+F88</f>
        <v>0</v>
      </c>
      <c r="E88" s="2">
        <f>E89+E91+E92+E90</f>
        <v>0</v>
      </c>
      <c r="F88" s="2">
        <f>F89+F91+F92+F90</f>
        <v>0</v>
      </c>
      <c r="G88" s="2">
        <f>G89+G91+G92+G90</f>
        <v>0</v>
      </c>
      <c r="H88" s="2">
        <f>H89+H91+H92+H90</f>
        <v>0</v>
      </c>
      <c r="I88" s="2">
        <f>I89+I91+I92+I90</f>
        <v>0</v>
      </c>
      <c r="J88" s="36"/>
      <c r="K88" s="36"/>
      <c r="L88" s="36"/>
    </row>
    <row r="89" spans="1:12" ht="18.75" x14ac:dyDescent="0.25">
      <c r="A89" s="328" t="s">
        <v>6</v>
      </c>
      <c r="B89" s="119">
        <v>244</v>
      </c>
      <c r="C89" s="119">
        <v>297</v>
      </c>
      <c r="D89" s="5">
        <f t="shared" si="55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9"/>
      <c r="B90" s="210">
        <v>613</v>
      </c>
      <c r="C90" s="210">
        <v>297</v>
      </c>
      <c r="D90" s="5">
        <f>E90+F90</f>
        <v>0</v>
      </c>
      <c r="E90" s="2">
        <v>0</v>
      </c>
      <c r="F90" s="2">
        <v>0</v>
      </c>
      <c r="G90" s="5">
        <f>H90+I90</f>
        <v>0</v>
      </c>
      <c r="H90" s="2">
        <v>0</v>
      </c>
      <c r="I90" s="2">
        <v>0</v>
      </c>
      <c r="J90" s="36"/>
      <c r="K90" s="36"/>
      <c r="L90" s="36"/>
    </row>
    <row r="91" spans="1:12" ht="18.75" x14ac:dyDescent="0.25">
      <c r="A91" s="329"/>
      <c r="B91" s="191">
        <v>831</v>
      </c>
      <c r="C91" s="191">
        <v>297</v>
      </c>
      <c r="D91" s="5">
        <f t="shared" si="55"/>
        <v>0</v>
      </c>
      <c r="E91" s="2">
        <v>0</v>
      </c>
      <c r="F91" s="2">
        <v>0</v>
      </c>
      <c r="G91" s="5">
        <f>H91+I91</f>
        <v>0</v>
      </c>
      <c r="H91" s="2">
        <v>0</v>
      </c>
      <c r="I91" s="2">
        <v>0</v>
      </c>
      <c r="J91" s="36"/>
      <c r="K91" s="36"/>
      <c r="L91" s="36"/>
    </row>
    <row r="92" spans="1:12" ht="18.75" x14ac:dyDescent="0.25">
      <c r="A92" s="330"/>
      <c r="B92" s="119">
        <v>853</v>
      </c>
      <c r="C92" s="119">
        <v>297</v>
      </c>
      <c r="D92" s="5">
        <f t="shared" si="55"/>
        <v>0</v>
      </c>
      <c r="E92" s="2">
        <v>0</v>
      </c>
      <c r="F92" s="2">
        <v>0</v>
      </c>
      <c r="G92" s="5">
        <f t="shared" si="34"/>
        <v>0</v>
      </c>
      <c r="H92" s="2">
        <v>0</v>
      </c>
      <c r="I92" s="2">
        <v>0</v>
      </c>
      <c r="J92" s="36"/>
      <c r="K92" s="36"/>
      <c r="L92" s="36"/>
    </row>
    <row r="93" spans="1:12" ht="56.25" x14ac:dyDescent="0.25">
      <c r="A93" s="115" t="s">
        <v>59</v>
      </c>
      <c r="B93" s="119" t="s">
        <v>5</v>
      </c>
      <c r="C93" s="119">
        <v>300</v>
      </c>
      <c r="D93" s="5">
        <f t="shared" si="55"/>
        <v>9401903.6199999992</v>
      </c>
      <c r="E93" s="2">
        <f>E95+E97+E96</f>
        <v>9401903.6199999992</v>
      </c>
      <c r="F93" s="2">
        <f>F95+F97+F96</f>
        <v>0</v>
      </c>
      <c r="G93" s="5">
        <f t="shared" si="34"/>
        <v>9401903.6199999992</v>
      </c>
      <c r="H93" s="2">
        <f>H95+H97+H96</f>
        <v>9401903.6199999992</v>
      </c>
      <c r="I93" s="2">
        <f>I95+I97+I96</f>
        <v>0</v>
      </c>
      <c r="J93" s="36"/>
      <c r="K93" s="36"/>
      <c r="L93" s="36"/>
    </row>
    <row r="94" spans="1:12" ht="18.75" x14ac:dyDescent="0.25">
      <c r="A94" s="115" t="s">
        <v>9</v>
      </c>
      <c r="B94" s="119"/>
      <c r="C94" s="119"/>
      <c r="D94" s="5"/>
      <c r="E94" s="2"/>
      <c r="F94" s="2"/>
      <c r="G94" s="5"/>
      <c r="H94" s="2"/>
      <c r="I94" s="2"/>
      <c r="J94" s="36"/>
      <c r="K94" s="36"/>
      <c r="L94" s="36"/>
    </row>
    <row r="95" spans="1:12" ht="56.25" x14ac:dyDescent="0.25">
      <c r="A95" s="115" t="s">
        <v>36</v>
      </c>
      <c r="B95" s="119">
        <v>244</v>
      </c>
      <c r="C95" s="119">
        <v>310</v>
      </c>
      <c r="D95" s="5">
        <f t="shared" si="55"/>
        <v>0</v>
      </c>
      <c r="E95" s="2">
        <v>0</v>
      </c>
      <c r="F95" s="2">
        <v>0</v>
      </c>
      <c r="G95" s="5">
        <f t="shared" ref="G95:G97" si="56">H95+I95</f>
        <v>0</v>
      </c>
      <c r="H95" s="2">
        <v>0</v>
      </c>
      <c r="I95" s="2">
        <v>0</v>
      </c>
      <c r="J95" s="36"/>
      <c r="K95" s="36"/>
      <c r="L95" s="36"/>
    </row>
    <row r="96" spans="1:12" ht="75" x14ac:dyDescent="0.25">
      <c r="A96" s="115" t="s">
        <v>68</v>
      </c>
      <c r="B96" s="119">
        <v>244</v>
      </c>
      <c r="C96" s="119">
        <v>320</v>
      </c>
      <c r="D96" s="5">
        <f t="shared" si="55"/>
        <v>0</v>
      </c>
      <c r="E96" s="2">
        <v>0</v>
      </c>
      <c r="F96" s="2">
        <v>0</v>
      </c>
      <c r="G96" s="5">
        <f t="shared" si="56"/>
        <v>0</v>
      </c>
      <c r="H96" s="2">
        <v>0</v>
      </c>
      <c r="I96" s="2">
        <v>0</v>
      </c>
      <c r="J96" s="36"/>
      <c r="K96" s="36"/>
      <c r="L96" s="36"/>
    </row>
    <row r="97" spans="1:12" ht="75" x14ac:dyDescent="0.25">
      <c r="A97" s="115" t="s">
        <v>60</v>
      </c>
      <c r="B97" s="119" t="s">
        <v>5</v>
      </c>
      <c r="C97" s="119">
        <v>340</v>
      </c>
      <c r="D97" s="5">
        <f t="shared" si="55"/>
        <v>9401903.6199999992</v>
      </c>
      <c r="E97" s="2">
        <f>E99+E100+E101+E102+E103+E104+E106+E105</f>
        <v>9401903.6199999992</v>
      </c>
      <c r="F97" s="2">
        <f>F99+F100+F101+F102+F103+F104+F106</f>
        <v>0</v>
      </c>
      <c r="G97" s="5">
        <f t="shared" si="56"/>
        <v>9401903.6199999992</v>
      </c>
      <c r="H97" s="2">
        <f>H99+H100+H101+H102+H103+H104+H106+H105</f>
        <v>9401903.6199999992</v>
      </c>
      <c r="I97" s="2">
        <f>I99+I100+I101+I102+I103+I104+I106</f>
        <v>0</v>
      </c>
      <c r="J97" s="36"/>
      <c r="K97" s="36"/>
      <c r="L97" s="36"/>
    </row>
    <row r="98" spans="1:12" ht="18.75" x14ac:dyDescent="0.25">
      <c r="A98" s="115" t="s">
        <v>6</v>
      </c>
      <c r="B98" s="119"/>
      <c r="C98" s="119"/>
      <c r="D98" s="5"/>
      <c r="E98" s="2"/>
      <c r="F98" s="2"/>
      <c r="G98" s="5"/>
      <c r="H98" s="2"/>
      <c r="I98" s="2"/>
      <c r="J98" s="36"/>
      <c r="K98" s="36"/>
      <c r="L98" s="36"/>
    </row>
    <row r="99" spans="1:12" ht="131.25" x14ac:dyDescent="0.25">
      <c r="A99" s="115" t="s">
        <v>37</v>
      </c>
      <c r="B99" s="119">
        <v>244</v>
      </c>
      <c r="C99" s="119">
        <v>341</v>
      </c>
      <c r="D99" s="5">
        <f t="shared" si="55"/>
        <v>0</v>
      </c>
      <c r="E99" s="2">
        <v>0</v>
      </c>
      <c r="F99" s="2">
        <v>0</v>
      </c>
      <c r="G99" s="5">
        <f t="shared" ref="G99:G107" si="57">H99+I99</f>
        <v>0</v>
      </c>
      <c r="H99" s="2">
        <v>0</v>
      </c>
      <c r="I99" s="2">
        <v>0</v>
      </c>
      <c r="J99" s="36"/>
      <c r="K99" s="36"/>
      <c r="L99" s="36"/>
    </row>
    <row r="100" spans="1:12" ht="56.25" x14ac:dyDescent="0.25">
      <c r="A100" s="115" t="s">
        <v>38</v>
      </c>
      <c r="B100" s="119">
        <v>244</v>
      </c>
      <c r="C100" s="119">
        <v>342</v>
      </c>
      <c r="D100" s="5">
        <f t="shared" si="55"/>
        <v>0</v>
      </c>
      <c r="E100" s="2">
        <v>0</v>
      </c>
      <c r="F100" s="2">
        <v>0</v>
      </c>
      <c r="G100" s="5">
        <f t="shared" si="57"/>
        <v>0</v>
      </c>
      <c r="H100" s="2">
        <v>0</v>
      </c>
      <c r="I100" s="2">
        <v>0</v>
      </c>
      <c r="J100" s="36"/>
      <c r="K100" s="36"/>
      <c r="L100" s="36"/>
    </row>
    <row r="101" spans="1:12" ht="75" x14ac:dyDescent="0.25">
      <c r="A101" s="115" t="s">
        <v>39</v>
      </c>
      <c r="B101" s="119">
        <v>244</v>
      </c>
      <c r="C101" s="119">
        <v>343</v>
      </c>
      <c r="D101" s="5">
        <f t="shared" si="55"/>
        <v>290000</v>
      </c>
      <c r="E101" s="2">
        <v>290000</v>
      </c>
      <c r="F101" s="2">
        <v>0</v>
      </c>
      <c r="G101" s="5">
        <f t="shared" si="57"/>
        <v>290000</v>
      </c>
      <c r="H101" s="2">
        <v>290000</v>
      </c>
      <c r="I101" s="2">
        <v>0</v>
      </c>
      <c r="J101" s="36"/>
      <c r="K101" s="36"/>
      <c r="L101" s="36"/>
    </row>
    <row r="102" spans="1:12" ht="75" x14ac:dyDescent="0.25">
      <c r="A102" s="115" t="s">
        <v>40</v>
      </c>
      <c r="B102" s="119">
        <v>244</v>
      </c>
      <c r="C102" s="119">
        <v>344</v>
      </c>
      <c r="D102" s="5">
        <f t="shared" si="55"/>
        <v>200000</v>
      </c>
      <c r="E102" s="2">
        <v>200000</v>
      </c>
      <c r="F102" s="2">
        <v>0</v>
      </c>
      <c r="G102" s="5">
        <f t="shared" si="57"/>
        <v>200000</v>
      </c>
      <c r="H102" s="2">
        <v>200000</v>
      </c>
      <c r="I102" s="2">
        <v>0</v>
      </c>
      <c r="J102" s="36"/>
      <c r="K102" s="36"/>
      <c r="L102" s="36"/>
    </row>
    <row r="103" spans="1:12" ht="56.25" x14ac:dyDescent="0.25">
      <c r="A103" s="115" t="s">
        <v>41</v>
      </c>
      <c r="B103" s="119">
        <v>244</v>
      </c>
      <c r="C103" s="119">
        <v>345</v>
      </c>
      <c r="D103" s="5">
        <f t="shared" si="55"/>
        <v>334245</v>
      </c>
      <c r="E103" s="2">
        <v>334245</v>
      </c>
      <c r="F103" s="2">
        <v>0</v>
      </c>
      <c r="G103" s="5">
        <f t="shared" si="57"/>
        <v>334245</v>
      </c>
      <c r="H103" s="2">
        <v>334245</v>
      </c>
      <c r="I103" s="2">
        <v>0</v>
      </c>
      <c r="J103" s="36"/>
      <c r="K103" s="36"/>
      <c r="L103" s="36"/>
    </row>
    <row r="104" spans="1:12" ht="75" x14ac:dyDescent="0.25">
      <c r="A104" s="115" t="s">
        <v>42</v>
      </c>
      <c r="B104" s="119">
        <v>244</v>
      </c>
      <c r="C104" s="119">
        <v>346</v>
      </c>
      <c r="D104" s="5">
        <f t="shared" si="55"/>
        <v>8428958.6199999992</v>
      </c>
      <c r="E104" s="2">
        <v>8428958.6199999992</v>
      </c>
      <c r="F104" s="2">
        <v>0</v>
      </c>
      <c r="G104" s="5">
        <f t="shared" si="57"/>
        <v>8428958.6199999992</v>
      </c>
      <c r="H104" s="2">
        <v>8428958.6199999992</v>
      </c>
      <c r="I104" s="2">
        <v>0</v>
      </c>
      <c r="J104" s="36"/>
      <c r="K104" s="36"/>
      <c r="L104" s="36"/>
    </row>
    <row r="105" spans="1:12" ht="112.5" x14ac:dyDescent="0.25">
      <c r="A105" s="170" t="s">
        <v>341</v>
      </c>
      <c r="B105" s="171">
        <v>244</v>
      </c>
      <c r="C105" s="171">
        <v>347</v>
      </c>
      <c r="D105" s="5">
        <f>E105+F105</f>
        <v>0</v>
      </c>
      <c r="E105" s="2">
        <v>0</v>
      </c>
      <c r="F105" s="2">
        <v>0</v>
      </c>
      <c r="G105" s="5">
        <f>H105+I105</f>
        <v>0</v>
      </c>
      <c r="H105" s="2">
        <v>0</v>
      </c>
      <c r="I105" s="2">
        <v>0</v>
      </c>
      <c r="J105" s="36"/>
      <c r="K105" s="36"/>
      <c r="L105" s="36"/>
    </row>
    <row r="106" spans="1:12" ht="112.5" x14ac:dyDescent="0.25">
      <c r="A106" s="115" t="s">
        <v>43</v>
      </c>
      <c r="B106" s="119">
        <v>244</v>
      </c>
      <c r="C106" s="119">
        <v>349</v>
      </c>
      <c r="D106" s="5">
        <f t="shared" si="55"/>
        <v>148700</v>
      </c>
      <c r="E106" s="2">
        <v>148700</v>
      </c>
      <c r="F106" s="2">
        <v>0</v>
      </c>
      <c r="G106" s="5">
        <f t="shared" si="57"/>
        <v>148700</v>
      </c>
      <c r="H106" s="2">
        <v>148700</v>
      </c>
      <c r="I106" s="2">
        <v>0</v>
      </c>
      <c r="J106" s="36"/>
      <c r="K106" s="36"/>
      <c r="L106" s="36"/>
    </row>
    <row r="107" spans="1:12" ht="56.25" x14ac:dyDescent="0.25">
      <c r="A107" s="115" t="s">
        <v>67</v>
      </c>
      <c r="B107" s="119" t="s">
        <v>5</v>
      </c>
      <c r="C107" s="119" t="s">
        <v>5</v>
      </c>
      <c r="D107" s="5">
        <f t="shared" si="55"/>
        <v>0</v>
      </c>
      <c r="E107" s="2">
        <f t="shared" ref="E107" si="58">E109+E110+E111</f>
        <v>0</v>
      </c>
      <c r="F107" s="2">
        <f t="shared" ref="F107" si="59">F109+F110+F111</f>
        <v>0</v>
      </c>
      <c r="G107" s="5">
        <f t="shared" si="57"/>
        <v>0</v>
      </c>
      <c r="H107" s="2">
        <f t="shared" ref="H107" si="60">H109+H110+H111</f>
        <v>0</v>
      </c>
      <c r="I107" s="2">
        <f t="shared" ref="I107" si="61">I109+I110+I111</f>
        <v>0</v>
      </c>
      <c r="J107" s="36"/>
      <c r="K107" s="36"/>
      <c r="L107" s="36"/>
    </row>
    <row r="108" spans="1:12" ht="18.600000000000001" customHeight="1" x14ac:dyDescent="0.25">
      <c r="A108" s="115" t="s">
        <v>6</v>
      </c>
      <c r="B108" s="119"/>
      <c r="C108" s="119"/>
      <c r="D108" s="5"/>
      <c r="E108" s="2"/>
      <c r="F108" s="2"/>
      <c r="G108" s="5"/>
      <c r="H108" s="2"/>
      <c r="I108" s="2"/>
      <c r="J108" s="36"/>
      <c r="K108" s="36"/>
      <c r="L108" s="36"/>
    </row>
    <row r="109" spans="1:12" ht="18.75" x14ac:dyDescent="0.25">
      <c r="A109" s="115" t="s">
        <v>194</v>
      </c>
      <c r="B109" s="119">
        <v>180</v>
      </c>
      <c r="C109" s="119" t="s">
        <v>5</v>
      </c>
      <c r="D109" s="5">
        <f t="shared" si="55"/>
        <v>0</v>
      </c>
      <c r="E109" s="2"/>
      <c r="F109" s="2"/>
      <c r="G109" s="5">
        <f t="shared" ref="G109:G111" si="62">H109+I109</f>
        <v>0</v>
      </c>
      <c r="H109" s="2"/>
      <c r="I109" s="2"/>
      <c r="J109" s="36"/>
      <c r="K109" s="36"/>
      <c r="L109" s="36"/>
    </row>
    <row r="110" spans="1:12" ht="56.25" x14ac:dyDescent="0.25">
      <c r="A110" s="115" t="s">
        <v>195</v>
      </c>
      <c r="B110" s="119">
        <v>180</v>
      </c>
      <c r="C110" s="119" t="s">
        <v>5</v>
      </c>
      <c r="D110" s="5">
        <f t="shared" si="55"/>
        <v>0</v>
      </c>
      <c r="E110" s="2"/>
      <c r="F110" s="2"/>
      <c r="G110" s="5">
        <f t="shared" si="62"/>
        <v>0</v>
      </c>
      <c r="H110" s="2"/>
      <c r="I110" s="2"/>
      <c r="J110" s="36"/>
      <c r="K110" s="36"/>
      <c r="L110" s="36"/>
    </row>
    <row r="111" spans="1:12" ht="57" thickBot="1" x14ac:dyDescent="0.3">
      <c r="A111" s="32" t="s">
        <v>196</v>
      </c>
      <c r="B111" s="33">
        <v>180</v>
      </c>
      <c r="C111" s="33" t="s">
        <v>5</v>
      </c>
      <c r="D111" s="34">
        <f t="shared" si="55"/>
        <v>0</v>
      </c>
      <c r="E111" s="35"/>
      <c r="F111" s="35"/>
      <c r="G111" s="34">
        <f t="shared" si="62"/>
        <v>0</v>
      </c>
      <c r="H111" s="35"/>
      <c r="I111" s="35"/>
      <c r="J111" s="36"/>
      <c r="K111" s="36"/>
      <c r="L111" s="36"/>
    </row>
    <row r="112" spans="1:12" ht="18.75" x14ac:dyDescent="0.25">
      <c r="A112" s="15"/>
      <c r="B112" s="19"/>
      <c r="C112" s="19"/>
      <c r="D112" s="36"/>
      <c r="E112" s="36"/>
      <c r="F112" s="36"/>
    </row>
    <row r="113" spans="1:16" x14ac:dyDescent="0.25">
      <c r="A113" s="11"/>
    </row>
    <row r="114" spans="1:16" ht="37.5" x14ac:dyDescent="0.3">
      <c r="A114" s="29" t="s">
        <v>52</v>
      </c>
      <c r="B114" s="227"/>
      <c r="C114" s="227"/>
      <c r="D114" s="10"/>
      <c r="E114" s="227" t="s">
        <v>478</v>
      </c>
      <c r="F114" s="227"/>
    </row>
    <row r="115" spans="1:16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6" ht="18.75" x14ac:dyDescent="0.3">
      <c r="A116" s="29"/>
      <c r="B116" s="10"/>
      <c r="C116" s="10"/>
      <c r="D116" s="10"/>
      <c r="E116" s="10"/>
      <c r="F116" s="10"/>
    </row>
    <row r="117" spans="1:16" ht="37.5" x14ac:dyDescent="0.3">
      <c r="A117" s="29" t="s">
        <v>55</v>
      </c>
      <c r="B117" s="227"/>
      <c r="C117" s="227"/>
      <c r="D117" s="10"/>
      <c r="E117" s="227" t="s">
        <v>482</v>
      </c>
      <c r="F117" s="227"/>
    </row>
    <row r="118" spans="1:16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6" ht="18.75" x14ac:dyDescent="0.3">
      <c r="A119" s="29"/>
      <c r="B119" s="116"/>
      <c r="C119" s="116"/>
      <c r="D119" s="10"/>
      <c r="E119" s="116"/>
      <c r="F119" s="116"/>
    </row>
    <row r="120" spans="1:16" ht="18.75" x14ac:dyDescent="0.3">
      <c r="A120" s="29" t="s">
        <v>56</v>
      </c>
      <c r="B120" s="227"/>
      <c r="C120" s="227"/>
      <c r="D120" s="10"/>
      <c r="E120" s="227" t="s">
        <v>482</v>
      </c>
      <c r="F120" s="227"/>
    </row>
    <row r="121" spans="1:16" ht="18.75" x14ac:dyDescent="0.3">
      <c r="A121" s="29"/>
      <c r="B121" s="226" t="s">
        <v>53</v>
      </c>
      <c r="C121" s="226"/>
      <c r="D121" s="10"/>
      <c r="E121" s="226" t="s">
        <v>54</v>
      </c>
      <c r="F121" s="226"/>
    </row>
    <row r="122" spans="1:16" ht="18.75" x14ac:dyDescent="0.3">
      <c r="A122" s="29" t="s">
        <v>57</v>
      </c>
      <c r="B122" s="10"/>
      <c r="C122" s="10"/>
      <c r="D122" s="10"/>
      <c r="E122" s="10"/>
      <c r="F122" s="10"/>
    </row>
    <row r="123" spans="1:16" ht="18.75" x14ac:dyDescent="0.3">
      <c r="A123" s="225" t="s">
        <v>44</v>
      </c>
      <c r="B123" s="225"/>
      <c r="C123" s="10"/>
      <c r="D123" s="10"/>
      <c r="E123" s="10"/>
      <c r="F123" s="10"/>
    </row>
    <row r="124" spans="1:16" ht="18.75" x14ac:dyDescent="0.25">
      <c r="A124" s="325" t="s">
        <v>192</v>
      </c>
      <c r="B124" s="325"/>
      <c r="C124" s="325"/>
      <c r="D124" s="325"/>
      <c r="E124" s="325"/>
      <c r="F124" s="325"/>
      <c r="G124" s="325"/>
      <c r="H124" s="325"/>
      <c r="I124" s="325"/>
      <c r="K124" s="324" t="s">
        <v>233</v>
      </c>
      <c r="L124" s="324"/>
      <c r="M124" s="324"/>
      <c r="N124" s="324" t="s">
        <v>234</v>
      </c>
      <c r="O124" s="324"/>
      <c r="P124" s="324"/>
    </row>
    <row r="125" spans="1:16" ht="112.5" x14ac:dyDescent="0.25">
      <c r="A125" s="54" t="s">
        <v>69</v>
      </c>
      <c r="B125" s="58" t="s">
        <v>5</v>
      </c>
      <c r="C125" s="58" t="s">
        <v>5</v>
      </c>
      <c r="D125" s="5">
        <f t="shared" ref="D125:D126" si="63">E125+F125</f>
        <v>0</v>
      </c>
      <c r="E125" s="2"/>
      <c r="F125" s="4"/>
      <c r="G125" s="5">
        <f t="shared" ref="G125:G126" si="64">H125+I125</f>
        <v>0</v>
      </c>
      <c r="H125" s="2"/>
      <c r="I125" s="4"/>
      <c r="J125" s="36"/>
      <c r="K125" s="71" t="s">
        <v>230</v>
      </c>
      <c r="L125" s="71" t="s">
        <v>231</v>
      </c>
      <c r="M125" s="71" t="s">
        <v>232</v>
      </c>
      <c r="N125" s="71" t="s">
        <v>230</v>
      </c>
      <c r="O125" s="71" t="s">
        <v>231</v>
      </c>
      <c r="P125" s="71" t="s">
        <v>232</v>
      </c>
    </row>
    <row r="126" spans="1:16" ht="18.75" x14ac:dyDescent="0.25">
      <c r="A126" s="54" t="s">
        <v>7</v>
      </c>
      <c r="B126" s="58" t="s">
        <v>5</v>
      </c>
      <c r="C126" s="58">
        <v>900</v>
      </c>
      <c r="D126" s="5">
        <f t="shared" si="63"/>
        <v>86471852.88000001</v>
      </c>
      <c r="E126" s="2">
        <f>E129+E159+E174+E204</f>
        <v>86471852.88000001</v>
      </c>
      <c r="F126" s="2">
        <f>F129+F159</f>
        <v>0</v>
      </c>
      <c r="G126" s="5">
        <f t="shared" si="64"/>
        <v>86471851.400000006</v>
      </c>
      <c r="H126" s="2">
        <f>H129+H159+H174+H204</f>
        <v>86471851.400000006</v>
      </c>
      <c r="I126" s="2">
        <f>I129+I159</f>
        <v>0</v>
      </c>
      <c r="J126" s="36"/>
      <c r="K126" s="72">
        <f>E26+E27+E28+E30+E36+E54+E55+E56+E65+E68+E69+E71+E75+E76+E77+E78+E79+E80+E83+E84+E85+E87+E92</f>
        <v>79677994.270000011</v>
      </c>
      <c r="L126" s="72">
        <f>K126+D126</f>
        <v>166149847.15000004</v>
      </c>
      <c r="M126" s="72">
        <f>L126-E20</f>
        <v>0</v>
      </c>
      <c r="N126" s="72">
        <f>H26+H27+H28+H30+H36+H54+H55+H56+H65+H68+H69+H71+H75+H76+H77+H78+H79+H80+H83+H84+H85+H87+H92</f>
        <v>79677994.270000011</v>
      </c>
      <c r="O126" s="72">
        <f>N126+G126</f>
        <v>166149845.67000002</v>
      </c>
      <c r="P126" s="72">
        <f>O126-H20</f>
        <v>0</v>
      </c>
    </row>
    <row r="127" spans="1:16" ht="18.75" x14ac:dyDescent="0.25">
      <c r="A127" s="54" t="s">
        <v>6</v>
      </c>
      <c r="B127" s="58"/>
      <c r="C127" s="58"/>
      <c r="D127" s="5"/>
      <c r="E127" s="2"/>
      <c r="F127" s="4"/>
      <c r="G127" s="5"/>
      <c r="H127" s="2"/>
      <c r="I127" s="4"/>
      <c r="J127" s="36"/>
      <c r="K127" s="36"/>
      <c r="L127" s="36"/>
    </row>
    <row r="128" spans="1:16" ht="17.45" customHeight="1" x14ac:dyDescent="0.25">
      <c r="A128" s="326" t="s">
        <v>200</v>
      </c>
      <c r="B128" s="327"/>
      <c r="C128" s="327"/>
      <c r="D128" s="327"/>
      <c r="E128" s="327"/>
      <c r="F128" s="327"/>
      <c r="G128" s="327"/>
      <c r="H128" s="327"/>
      <c r="I128" s="327"/>
      <c r="J128" s="76"/>
      <c r="K128" s="76"/>
      <c r="L128" s="76"/>
    </row>
    <row r="129" spans="1:12" ht="18.75" x14ac:dyDescent="0.25">
      <c r="A129" s="54" t="s">
        <v>8</v>
      </c>
      <c r="B129" s="58" t="s">
        <v>5</v>
      </c>
      <c r="C129" s="58">
        <v>200</v>
      </c>
      <c r="D129" s="5">
        <f t="shared" ref="D129:D162" si="65">E129+F129</f>
        <v>2342695.91</v>
      </c>
      <c r="E129" s="2">
        <f>E131+E134+E155</f>
        <v>2342695.91</v>
      </c>
      <c r="F129" s="2">
        <f>F131+F134+F155</f>
        <v>0</v>
      </c>
      <c r="G129" s="5">
        <f t="shared" ref="G129" si="66">H129+I129</f>
        <v>0</v>
      </c>
      <c r="H129" s="2">
        <f>H131+H134+H155</f>
        <v>0</v>
      </c>
      <c r="I129" s="2">
        <f>I131+I134+I155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75" x14ac:dyDescent="0.25">
      <c r="A131" s="54" t="s">
        <v>10</v>
      </c>
      <c r="B131" s="58" t="s">
        <v>5</v>
      </c>
      <c r="C131" s="58">
        <v>210</v>
      </c>
      <c r="D131" s="5">
        <f t="shared" si="65"/>
        <v>0</v>
      </c>
      <c r="E131" s="2">
        <f>E133</f>
        <v>0</v>
      </c>
      <c r="F131" s="2">
        <f>F133</f>
        <v>0</v>
      </c>
      <c r="G131" s="5">
        <f t="shared" ref="G131" si="67">H131+I131</f>
        <v>0</v>
      </c>
      <c r="H131" s="2">
        <f>H133</f>
        <v>0</v>
      </c>
      <c r="I131" s="2">
        <f>I133</f>
        <v>0</v>
      </c>
      <c r="J131" s="36"/>
      <c r="K131" s="36"/>
      <c r="L131" s="36"/>
    </row>
    <row r="132" spans="1:12" ht="18.75" x14ac:dyDescent="0.25">
      <c r="A132" s="54" t="s">
        <v>9</v>
      </c>
      <c r="B132" s="58"/>
      <c r="C132" s="58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  <c r="G133" s="5">
        <f>H133+I133</f>
        <v>0</v>
      </c>
      <c r="H133" s="2"/>
      <c r="I133" s="2"/>
      <c r="J133" s="36"/>
      <c r="K133" s="36"/>
      <c r="L133" s="36"/>
    </row>
    <row r="134" spans="1:12" ht="37.5" x14ac:dyDescent="0.25">
      <c r="A134" s="54" t="s">
        <v>14</v>
      </c>
      <c r="B134" s="58" t="s">
        <v>5</v>
      </c>
      <c r="C134" s="58">
        <v>220</v>
      </c>
      <c r="D134" s="5">
        <f t="shared" si="65"/>
        <v>2342695.91</v>
      </c>
      <c r="E134" s="2">
        <f>E136+E137+E138+E146+E147+E150+E153</f>
        <v>2342695.91</v>
      </c>
      <c r="F134" s="2">
        <f>F136+F137+F138+F146+F147+F150+F153</f>
        <v>0</v>
      </c>
      <c r="G134" s="5">
        <f t="shared" ref="G134" si="68">H134+I134</f>
        <v>0</v>
      </c>
      <c r="H134" s="2">
        <f>H136+H137+H138+H146+H147+H150+H153</f>
        <v>0</v>
      </c>
      <c r="I134" s="2">
        <f>I136+I137+I138+I146+I147+I150+I153</f>
        <v>0</v>
      </c>
      <c r="J134" s="36"/>
      <c r="K134" s="36"/>
      <c r="L134" s="36"/>
    </row>
    <row r="135" spans="1:12" ht="18.75" x14ac:dyDescent="0.25">
      <c r="A135" s="54" t="s">
        <v>9</v>
      </c>
      <c r="B135" s="58"/>
      <c r="C135" s="58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18.75" x14ac:dyDescent="0.25">
      <c r="A136" s="54" t="s">
        <v>15</v>
      </c>
      <c r="B136" s="58">
        <v>244</v>
      </c>
      <c r="C136" s="58">
        <v>221</v>
      </c>
      <c r="D136" s="5">
        <f t="shared" si="65"/>
        <v>188400</v>
      </c>
      <c r="E136" s="2">
        <f>188400</f>
        <v>188400</v>
      </c>
      <c r="F136" s="2"/>
      <c r="G136" s="5">
        <f t="shared" ref="G136:G138" si="69">H136+I136</f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16</v>
      </c>
      <c r="B137" s="58">
        <v>244</v>
      </c>
      <c r="C137" s="58">
        <v>222</v>
      </c>
      <c r="D137" s="5">
        <f t="shared" si="65"/>
        <v>0</v>
      </c>
      <c r="E137" s="2"/>
      <c r="F137" s="2"/>
      <c r="G137" s="5">
        <f t="shared" si="69"/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17</v>
      </c>
      <c r="B138" s="58" t="s">
        <v>5</v>
      </c>
      <c r="C138" s="58">
        <v>223</v>
      </c>
      <c r="D138" s="5">
        <f t="shared" si="65"/>
        <v>661963.61</v>
      </c>
      <c r="E138" s="2">
        <f t="shared" ref="E138:F138" si="70">E140+E141+E142+E143+E144</f>
        <v>661963.61</v>
      </c>
      <c r="F138" s="2">
        <f t="shared" si="70"/>
        <v>0</v>
      </c>
      <c r="G138" s="5">
        <f t="shared" si="69"/>
        <v>0</v>
      </c>
      <c r="H138" s="2">
        <f t="shared" ref="H138:I138" si="71">H140+H141+H142+H143+H144</f>
        <v>0</v>
      </c>
      <c r="I138" s="2">
        <f t="shared" si="71"/>
        <v>0</v>
      </c>
      <c r="J138" s="36"/>
      <c r="K138" s="36"/>
      <c r="L138" s="36"/>
    </row>
    <row r="139" spans="1:12" ht="18.75" x14ac:dyDescent="0.25">
      <c r="A139" s="54" t="s">
        <v>6</v>
      </c>
      <c r="B139" s="58"/>
      <c r="C139" s="58"/>
      <c r="D139" s="5"/>
      <c r="E139" s="2"/>
      <c r="F139" s="2"/>
      <c r="G139" s="5"/>
      <c r="H139" s="2"/>
      <c r="I139" s="2"/>
      <c r="J139" s="36"/>
      <c r="K139" s="36"/>
      <c r="L139" s="36"/>
    </row>
    <row r="140" spans="1:12" ht="56.25" x14ac:dyDescent="0.25">
      <c r="A140" s="54" t="s">
        <v>18</v>
      </c>
      <c r="B140" s="58">
        <v>244</v>
      </c>
      <c r="C140" s="58">
        <v>223</v>
      </c>
      <c r="D140" s="5">
        <f t="shared" si="65"/>
        <v>0</v>
      </c>
      <c r="E140" s="2"/>
      <c r="F140" s="2"/>
      <c r="G140" s="5">
        <f t="shared" ref="G140:G146" si="72">H140+I140</f>
        <v>0</v>
      </c>
      <c r="H140" s="2"/>
      <c r="I140" s="2"/>
      <c r="J140" s="36"/>
      <c r="K140" s="36"/>
      <c r="L140" s="36"/>
    </row>
    <row r="141" spans="1:12" ht="37.5" x14ac:dyDescent="0.25">
      <c r="A141" s="54" t="s">
        <v>19</v>
      </c>
      <c r="B141" s="58">
        <v>247</v>
      </c>
      <c r="C141" s="58">
        <v>223</v>
      </c>
      <c r="D141" s="5">
        <f t="shared" si="65"/>
        <v>282253.61</v>
      </c>
      <c r="E141" s="2">
        <f>403219.44-120965.83</f>
        <v>282253.61</v>
      </c>
      <c r="F141" s="2"/>
      <c r="G141" s="5">
        <f t="shared" si="72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20</v>
      </c>
      <c r="B142" s="58">
        <v>247</v>
      </c>
      <c r="C142" s="58">
        <v>223</v>
      </c>
      <c r="D142" s="5">
        <f t="shared" si="65"/>
        <v>379710</v>
      </c>
      <c r="E142" s="2">
        <f>1265700-885990</f>
        <v>379710</v>
      </c>
      <c r="F142" s="2"/>
      <c r="G142" s="5">
        <f t="shared" si="72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21</v>
      </c>
      <c r="B143" s="58">
        <v>244</v>
      </c>
      <c r="C143" s="58">
        <v>223</v>
      </c>
      <c r="D143" s="5">
        <f t="shared" si="65"/>
        <v>0</v>
      </c>
      <c r="E143" s="2">
        <v>0</v>
      </c>
      <c r="F143" s="2"/>
      <c r="G143" s="5">
        <f t="shared" si="72"/>
        <v>0</v>
      </c>
      <c r="H143" s="2"/>
      <c r="I143" s="2"/>
      <c r="J143" s="36"/>
      <c r="K143" s="36"/>
      <c r="L143" s="36"/>
    </row>
    <row r="144" spans="1:12" ht="56.25" x14ac:dyDescent="0.25">
      <c r="A144" s="54" t="s">
        <v>22</v>
      </c>
      <c r="B144" s="58">
        <v>244</v>
      </c>
      <c r="C144" s="58">
        <v>223</v>
      </c>
      <c r="D144" s="5">
        <f t="shared" si="65"/>
        <v>0</v>
      </c>
      <c r="E144" s="2">
        <v>0</v>
      </c>
      <c r="F144" s="2"/>
      <c r="G144" s="5">
        <f t="shared" si="72"/>
        <v>0</v>
      </c>
      <c r="H144" s="2"/>
      <c r="I144" s="2"/>
      <c r="J144" s="36"/>
      <c r="K144" s="36"/>
      <c r="L144" s="36"/>
    </row>
    <row r="145" spans="1:12" ht="56.25" x14ac:dyDescent="0.25">
      <c r="A145" s="194" t="s">
        <v>436</v>
      </c>
      <c r="B145" s="195">
        <v>244</v>
      </c>
      <c r="C145" s="195">
        <v>223</v>
      </c>
      <c r="D145" s="5">
        <f t="shared" ref="D145" si="73">E145+F145</f>
        <v>0</v>
      </c>
      <c r="E145" s="2"/>
      <c r="F145" s="2"/>
      <c r="G145" s="5">
        <f t="shared" ref="G145" si="74">H145+I145</f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65"/>
        <v>0</v>
      </c>
      <c r="E146" s="2"/>
      <c r="F146" s="2"/>
      <c r="G146" s="5">
        <f t="shared" si="72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75">D148+D149</f>
        <v>800479.3</v>
      </c>
      <c r="E147" s="2">
        <f>E148+E149</f>
        <v>800479.3</v>
      </c>
      <c r="F147" s="2">
        <f t="shared" si="75"/>
        <v>0</v>
      </c>
      <c r="G147" s="2">
        <f t="shared" ref="G147" si="76">G148+G149</f>
        <v>0</v>
      </c>
      <c r="H147" s="2">
        <f>H148+H149</f>
        <v>0</v>
      </c>
      <c r="I147" s="2">
        <f t="shared" ref="I147" si="77">I148+I149</f>
        <v>0</v>
      </c>
      <c r="J147" s="36"/>
      <c r="K147" s="36"/>
      <c r="L147" s="36"/>
    </row>
    <row r="148" spans="1:12" ht="18.75" x14ac:dyDescent="0.25">
      <c r="A148" s="224" t="s">
        <v>6</v>
      </c>
      <c r="B148" s="58">
        <v>243</v>
      </c>
      <c r="C148" s="58">
        <v>225</v>
      </c>
      <c r="D148" s="5">
        <f t="shared" si="65"/>
        <v>0</v>
      </c>
      <c r="E148" s="2"/>
      <c r="F148" s="2"/>
      <c r="G148" s="5">
        <f t="shared" ref="G148:G159" si="78">H148+I148</f>
        <v>0</v>
      </c>
      <c r="H148" s="2"/>
      <c r="I148" s="2"/>
      <c r="J148" s="36"/>
      <c r="K148" s="36"/>
      <c r="L148" s="36"/>
    </row>
    <row r="149" spans="1:12" ht="18.75" x14ac:dyDescent="0.25">
      <c r="A149" s="224"/>
      <c r="B149" s="58">
        <v>244</v>
      </c>
      <c r="C149" s="58">
        <v>225</v>
      </c>
      <c r="D149" s="5">
        <f t="shared" si="65"/>
        <v>800479.3</v>
      </c>
      <c r="E149" s="2">
        <f>248600+835086.8-283207.5</f>
        <v>800479.3</v>
      </c>
      <c r="F149" s="2"/>
      <c r="G149" s="5">
        <f t="shared" si="78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65"/>
        <v>691853</v>
      </c>
      <c r="E150" s="2">
        <f>E151+E152</f>
        <v>691853</v>
      </c>
      <c r="F150" s="2">
        <f>F151+F152</f>
        <v>0</v>
      </c>
      <c r="G150" s="5">
        <f t="shared" si="78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4" t="s">
        <v>6</v>
      </c>
      <c r="B151" s="58">
        <v>243</v>
      </c>
      <c r="C151" s="58">
        <v>226</v>
      </c>
      <c r="D151" s="5">
        <f t="shared" si="65"/>
        <v>0</v>
      </c>
      <c r="E151" s="2"/>
      <c r="F151" s="2"/>
      <c r="G151" s="5">
        <f t="shared" si="78"/>
        <v>0</v>
      </c>
      <c r="H151" s="2"/>
      <c r="I151" s="2"/>
      <c r="J151" s="36"/>
      <c r="K151" s="36"/>
      <c r="L151" s="36"/>
    </row>
    <row r="152" spans="1:12" ht="18.75" x14ac:dyDescent="0.25">
      <c r="A152" s="224"/>
      <c r="B152" s="58">
        <v>244</v>
      </c>
      <c r="C152" s="58">
        <v>226</v>
      </c>
      <c r="D152" s="5">
        <f t="shared" si="65"/>
        <v>691853</v>
      </c>
      <c r="E152" s="2">
        <f>691853</f>
        <v>691853</v>
      </c>
      <c r="F152" s="2"/>
      <c r="G152" s="5">
        <f t="shared" si="78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78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9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65"/>
        <v>0</v>
      </c>
      <c r="E155" s="2">
        <f>E157+E158</f>
        <v>0</v>
      </c>
      <c r="F155" s="2">
        <f>F157+F158</f>
        <v>0</v>
      </c>
      <c r="G155" s="5">
        <f t="shared" si="78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65"/>
        <v>0</v>
      </c>
      <c r="E156" s="2"/>
      <c r="F156" s="2"/>
      <c r="G156" s="5">
        <f t="shared" si="78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65"/>
        <v>0</v>
      </c>
      <c r="E157" s="2"/>
      <c r="F157" s="2"/>
      <c r="G157" s="5">
        <f t="shared" si="78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65"/>
        <v>0</v>
      </c>
      <c r="E158" s="2"/>
      <c r="F158" s="2"/>
      <c r="G158" s="5">
        <f t="shared" si="78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65"/>
        <v>0</v>
      </c>
      <c r="E159" s="2">
        <f>E161+E163+E162</f>
        <v>0</v>
      </c>
      <c r="F159" s="2">
        <f>F161+F163+F162</f>
        <v>0</v>
      </c>
      <c r="G159" s="5">
        <f t="shared" si="78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65"/>
        <v>0</v>
      </c>
      <c r="E161" s="2"/>
      <c r="F161" s="2"/>
      <c r="G161" s="5">
        <f t="shared" ref="G161:G162" si="80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65"/>
        <v>0</v>
      </c>
      <c r="E162" s="2"/>
      <c r="F162" s="2"/>
      <c r="G162" s="5">
        <f t="shared" si="80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>E163+F163</f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>H163+I163</f>
        <v>0</v>
      </c>
      <c r="H163" s="2">
        <f>H165+H166+H167+H168+H169+H170+H171+H172</f>
        <v>0</v>
      </c>
      <c r="I163" s="2">
        <f>I165+I166+I167+I168+I169+I170+I171+I172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81">E165+F165</f>
        <v>0</v>
      </c>
      <c r="E165" s="2"/>
      <c r="F165" s="2"/>
      <c r="G165" s="5">
        <f t="shared" ref="G165:G172" si="82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81"/>
        <v>0</v>
      </c>
      <c r="E166" s="2"/>
      <c r="F166" s="2"/>
      <c r="G166" s="5">
        <f t="shared" si="82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81"/>
        <v>0</v>
      </c>
      <c r="E167" s="2">
        <v>0</v>
      </c>
      <c r="F167" s="2"/>
      <c r="G167" s="5">
        <f t="shared" si="82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81"/>
        <v>0</v>
      </c>
      <c r="E168" s="2"/>
      <c r="F168" s="2"/>
      <c r="G168" s="5">
        <f t="shared" si="82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81"/>
        <v>0</v>
      </c>
      <c r="E169" s="2"/>
      <c r="F169" s="2"/>
      <c r="G169" s="5">
        <f t="shared" si="82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  <c r="G170" s="5">
        <f t="shared" si="82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>E171+F171</f>
        <v>0</v>
      </c>
      <c r="E171" s="2"/>
      <c r="F171" s="2"/>
      <c r="G171" s="5">
        <f t="shared" ref="G171" si="83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81"/>
        <v>0</v>
      </c>
      <c r="E172" s="2"/>
      <c r="F172" s="2"/>
      <c r="G172" s="5">
        <f t="shared" si="82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6" t="s">
        <v>202</v>
      </c>
      <c r="B173" s="327"/>
      <c r="C173" s="327"/>
      <c r="D173" s="327"/>
      <c r="E173" s="327"/>
      <c r="F173" s="327"/>
      <c r="G173" s="327"/>
      <c r="H173" s="327"/>
      <c r="I173" s="327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84">E174+F174</f>
        <v>74727253.350000009</v>
      </c>
      <c r="E174" s="2">
        <f>E176+E179+E200</f>
        <v>74727253.350000009</v>
      </c>
      <c r="F174" s="2">
        <f>F176+F179+F200</f>
        <v>0</v>
      </c>
      <c r="G174" s="5">
        <f t="shared" ref="G174" si="85">H174+I174</f>
        <v>77069947.780000001</v>
      </c>
      <c r="H174" s="2">
        <f>H176+H179+H200</f>
        <v>77069947.780000001</v>
      </c>
      <c r="I174" s="2">
        <f>I176+I179+I200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86">E176+F176</f>
        <v>0</v>
      </c>
      <c r="E176" s="2">
        <f>E178</f>
        <v>0</v>
      </c>
      <c r="F176" s="2">
        <f>F178</f>
        <v>0</v>
      </c>
      <c r="G176" s="5">
        <f t="shared" ref="G176" si="87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E31-E133</f>
        <v>0</v>
      </c>
      <c r="F178" s="2"/>
      <c r="G178" s="5">
        <f>H178+I178</f>
        <v>0</v>
      </c>
      <c r="H178" s="70">
        <f>H31-H133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>E179+F179</f>
        <v>74727253.350000009</v>
      </c>
      <c r="E179" s="2">
        <f>E181+E182+E183+E191+E192+E195+E198+E199</f>
        <v>74727253.350000009</v>
      </c>
      <c r="F179" s="2">
        <f>F181+F182+F183+F191+F192+F195+F198+F199</f>
        <v>0</v>
      </c>
      <c r="G179" s="5">
        <f t="shared" ref="G179" si="88">H179+I179</f>
        <v>77069947.780000001</v>
      </c>
      <c r="H179" s="2">
        <f>H181+H182+H183+H191+H192+H195+H198+H199</f>
        <v>77069947.780000001</v>
      </c>
      <c r="I179" s="2">
        <f>I181+I182+I183+I191+I192+I195+I198+I199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9">E181+F181</f>
        <v>2189240</v>
      </c>
      <c r="E181" s="2">
        <f>E34-E136</f>
        <v>2189240</v>
      </c>
      <c r="F181" s="2"/>
      <c r="G181" s="5">
        <f t="shared" ref="G181:G183" si="90">H181+I181</f>
        <v>2377640</v>
      </c>
      <c r="H181" s="2">
        <f>H34-H136</f>
        <v>2377640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9"/>
        <v>0</v>
      </c>
      <c r="E182" s="70">
        <f>E37-E137</f>
        <v>0</v>
      </c>
      <c r="F182" s="2"/>
      <c r="G182" s="5">
        <f t="shared" si="90"/>
        <v>0</v>
      </c>
      <c r="H182" s="70">
        <f>H37-H137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9"/>
        <v>36912820.979999997</v>
      </c>
      <c r="E183" s="2">
        <f t="shared" ref="E183:F183" si="91">E185+E186+E187+E188+E189</f>
        <v>36912820.979999997</v>
      </c>
      <c r="F183" s="2">
        <f t="shared" si="91"/>
        <v>0</v>
      </c>
      <c r="G183" s="5">
        <f t="shared" si="90"/>
        <v>37574784.590000004</v>
      </c>
      <c r="H183" s="2">
        <f t="shared" ref="H183:I183" si="92">H185+H186+H187+H188+H189</f>
        <v>37574784.590000004</v>
      </c>
      <c r="I183" s="2">
        <f t="shared" si="92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1" si="93">E185+F185</f>
        <v>0</v>
      </c>
      <c r="E185" s="2">
        <f>E41-E140</f>
        <v>0</v>
      </c>
      <c r="F185" s="2"/>
      <c r="G185" s="5">
        <f t="shared" ref="G185:G191" si="94">H185+I185</f>
        <v>0</v>
      </c>
      <c r="H185" s="2">
        <f>H41-H140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93"/>
        <v>3488749.15</v>
      </c>
      <c r="E186" s="2">
        <f>E43-E141</f>
        <v>3488749.15</v>
      </c>
      <c r="F186" s="2"/>
      <c r="G186" s="5">
        <f t="shared" si="94"/>
        <v>3771002.76</v>
      </c>
      <c r="H186" s="2">
        <f>H43-H141</f>
        <v>3771002.76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93"/>
        <v>25968112.98</v>
      </c>
      <c r="E187" s="2">
        <f>E45-E142</f>
        <v>25968112.98</v>
      </c>
      <c r="F187" s="2"/>
      <c r="G187" s="5">
        <f t="shared" si="94"/>
        <v>26347822.98</v>
      </c>
      <c r="H187" s="2">
        <f>H45-H142</f>
        <v>26347822.98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93"/>
        <v>6836281.71</v>
      </c>
      <c r="E188" s="2">
        <f>E46-E143</f>
        <v>6836281.71</v>
      </c>
      <c r="F188" s="2"/>
      <c r="G188" s="5">
        <f t="shared" si="94"/>
        <v>6836281.71</v>
      </c>
      <c r="H188" s="2">
        <f>H46-H143</f>
        <v>6836281.71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93"/>
        <v>619677.14</v>
      </c>
      <c r="E189" s="2">
        <f>E47-E144</f>
        <v>619677.14</v>
      </c>
      <c r="F189" s="2"/>
      <c r="G189" s="5">
        <f t="shared" si="94"/>
        <v>619677.14</v>
      </c>
      <c r="H189" s="2">
        <f>H47-H144</f>
        <v>619677.14</v>
      </c>
      <c r="I189" s="2"/>
      <c r="J189" s="36"/>
      <c r="K189" s="36"/>
      <c r="L189" s="36"/>
    </row>
    <row r="190" spans="1:12" ht="56.25" x14ac:dyDescent="0.25">
      <c r="A190" s="194" t="s">
        <v>436</v>
      </c>
      <c r="B190" s="195">
        <v>244</v>
      </c>
      <c r="C190" s="195">
        <v>223</v>
      </c>
      <c r="D190" s="5">
        <f t="shared" ref="D190" si="95">E190+F190</f>
        <v>0</v>
      </c>
      <c r="E190" s="2">
        <f>E48-E145</f>
        <v>0</v>
      </c>
      <c r="F190" s="2"/>
      <c r="G190" s="5">
        <f t="shared" ref="G190" si="96">H190+I190</f>
        <v>0</v>
      </c>
      <c r="H190" s="2">
        <f>H48-H145</f>
        <v>0</v>
      </c>
      <c r="I190" s="2"/>
      <c r="J190" s="36"/>
      <c r="K190" s="36"/>
      <c r="L190" s="36"/>
    </row>
    <row r="191" spans="1:12" ht="168.75" x14ac:dyDescent="0.25">
      <c r="A191" s="54" t="s">
        <v>23</v>
      </c>
      <c r="B191" s="58">
        <v>244</v>
      </c>
      <c r="C191" s="58">
        <v>224</v>
      </c>
      <c r="D191" s="5">
        <f t="shared" si="93"/>
        <v>0</v>
      </c>
      <c r="E191" s="2">
        <f>E49-E146</f>
        <v>0</v>
      </c>
      <c r="F191" s="2"/>
      <c r="G191" s="5">
        <f t="shared" si="94"/>
        <v>0</v>
      </c>
      <c r="H191" s="2">
        <f>H49-H146</f>
        <v>0</v>
      </c>
      <c r="I191" s="2"/>
      <c r="J191" s="36"/>
      <c r="K191" s="36"/>
      <c r="L191" s="36"/>
    </row>
    <row r="192" spans="1:12" ht="56.25" x14ac:dyDescent="0.25">
      <c r="A192" s="54" t="s">
        <v>24</v>
      </c>
      <c r="B192" s="58" t="s">
        <v>5</v>
      </c>
      <c r="C192" s="58">
        <v>225</v>
      </c>
      <c r="D192" s="2">
        <f t="shared" ref="D192" si="97">D193+D194</f>
        <v>29486521.829999998</v>
      </c>
      <c r="E192" s="2">
        <f>E193+E194</f>
        <v>29486521.829999998</v>
      </c>
      <c r="F192" s="2">
        <f t="shared" ref="F192:G192" si="98">F193+F194</f>
        <v>0</v>
      </c>
      <c r="G192" s="2">
        <f t="shared" si="98"/>
        <v>30287001.129999999</v>
      </c>
      <c r="H192" s="2">
        <f>H193+H194</f>
        <v>30287001.129999999</v>
      </c>
      <c r="I192" s="2">
        <f t="shared" ref="I192" si="99">I193+I194</f>
        <v>0</v>
      </c>
      <c r="J192" s="36"/>
      <c r="K192" s="36"/>
      <c r="L192" s="36"/>
    </row>
    <row r="193" spans="1:12" ht="18.75" x14ac:dyDescent="0.25">
      <c r="A193" s="224" t="s">
        <v>6</v>
      </c>
      <c r="B193" s="58">
        <v>243</v>
      </c>
      <c r="C193" s="58">
        <v>225</v>
      </c>
      <c r="D193" s="5">
        <f t="shared" ref="D193:D204" si="100">E193+F193</f>
        <v>0</v>
      </c>
      <c r="E193" s="2">
        <f>E51-E148</f>
        <v>0</v>
      </c>
      <c r="F193" s="2"/>
      <c r="G193" s="5">
        <f t="shared" ref="G193:G204" si="101">H193+I193</f>
        <v>0</v>
      </c>
      <c r="H193" s="2">
        <f>H51-H148</f>
        <v>0</v>
      </c>
      <c r="I193" s="2"/>
      <c r="J193" s="36"/>
      <c r="K193" s="36"/>
      <c r="L193" s="36"/>
    </row>
    <row r="194" spans="1:12" ht="18.75" x14ac:dyDescent="0.25">
      <c r="A194" s="224"/>
      <c r="B194" s="58">
        <v>244</v>
      </c>
      <c r="C194" s="58">
        <v>225</v>
      </c>
      <c r="D194" s="5">
        <f t="shared" si="100"/>
        <v>29486521.829999998</v>
      </c>
      <c r="E194" s="2">
        <f>E52-E149</f>
        <v>29486521.829999998</v>
      </c>
      <c r="F194" s="2"/>
      <c r="G194" s="5">
        <f t="shared" si="101"/>
        <v>30287001.129999999</v>
      </c>
      <c r="H194" s="2">
        <f>H52-H149</f>
        <v>30287001.129999999</v>
      </c>
      <c r="I194" s="2"/>
      <c r="J194" s="36"/>
      <c r="K194" s="36"/>
      <c r="L194" s="36"/>
    </row>
    <row r="195" spans="1:12" ht="37.5" x14ac:dyDescent="0.25">
      <c r="A195" s="54" t="s">
        <v>58</v>
      </c>
      <c r="B195" s="58" t="s">
        <v>5</v>
      </c>
      <c r="C195" s="58">
        <v>226</v>
      </c>
      <c r="D195" s="5">
        <f t="shared" si="100"/>
        <v>6133602.9199999999</v>
      </c>
      <c r="E195" s="2">
        <f>E196+E197</f>
        <v>6133602.9199999999</v>
      </c>
      <c r="F195" s="2">
        <f>F196+F197</f>
        <v>0</v>
      </c>
      <c r="G195" s="5">
        <f t="shared" si="101"/>
        <v>6825454.4400000004</v>
      </c>
      <c r="H195" s="2">
        <f>H196+H197</f>
        <v>6825454.4400000004</v>
      </c>
      <c r="I195" s="2">
        <f>I196+I197</f>
        <v>0</v>
      </c>
      <c r="J195" s="36"/>
      <c r="K195" s="36"/>
      <c r="L195" s="36"/>
    </row>
    <row r="196" spans="1:12" ht="18.75" x14ac:dyDescent="0.25">
      <c r="A196" s="224" t="s">
        <v>6</v>
      </c>
      <c r="B196" s="58">
        <v>243</v>
      </c>
      <c r="C196" s="58">
        <v>226</v>
      </c>
      <c r="D196" s="5">
        <f t="shared" si="100"/>
        <v>0</v>
      </c>
      <c r="E196" s="2">
        <f>E57-E151</f>
        <v>0</v>
      </c>
      <c r="F196" s="2"/>
      <c r="G196" s="5">
        <f t="shared" si="101"/>
        <v>0</v>
      </c>
      <c r="H196" s="2">
        <f>H57-H151</f>
        <v>0</v>
      </c>
      <c r="I196" s="2"/>
      <c r="J196" s="36"/>
      <c r="K196" s="36"/>
      <c r="L196" s="36"/>
    </row>
    <row r="197" spans="1:12" ht="18.75" x14ac:dyDescent="0.25">
      <c r="A197" s="224"/>
      <c r="B197" s="58">
        <v>244</v>
      </c>
      <c r="C197" s="58">
        <v>226</v>
      </c>
      <c r="D197" s="5">
        <f t="shared" si="100"/>
        <v>6133602.9199999999</v>
      </c>
      <c r="E197" s="2">
        <f>E58-E152</f>
        <v>6133602.9199999999</v>
      </c>
      <c r="F197" s="2"/>
      <c r="G197" s="5">
        <f t="shared" si="101"/>
        <v>6825454.4400000004</v>
      </c>
      <c r="H197" s="2">
        <f>H58-H152</f>
        <v>6825454.4400000004</v>
      </c>
      <c r="I197" s="2"/>
      <c r="J197" s="36"/>
      <c r="K197" s="36"/>
      <c r="L197" s="36"/>
    </row>
    <row r="198" spans="1:12" ht="18.75" x14ac:dyDescent="0.25">
      <c r="A198" s="54" t="s">
        <v>25</v>
      </c>
      <c r="B198" s="58">
        <v>244</v>
      </c>
      <c r="C198" s="58">
        <v>227</v>
      </c>
      <c r="D198" s="5">
        <f t="shared" si="100"/>
        <v>5067.62</v>
      </c>
      <c r="E198" s="2">
        <f>E60-E153</f>
        <v>5067.62</v>
      </c>
      <c r="F198" s="2"/>
      <c r="G198" s="5">
        <f t="shared" si="101"/>
        <v>5067.62</v>
      </c>
      <c r="H198" s="2">
        <f>H60-H153</f>
        <v>5067.62</v>
      </c>
      <c r="I198" s="2"/>
      <c r="J198" s="36"/>
      <c r="K198" s="36"/>
      <c r="L198" s="36"/>
    </row>
    <row r="199" spans="1:12" ht="56.25" x14ac:dyDescent="0.25">
      <c r="A199" s="170" t="s">
        <v>340</v>
      </c>
      <c r="B199" s="171">
        <v>244</v>
      </c>
      <c r="C199" s="171">
        <v>228</v>
      </c>
      <c r="D199" s="5">
        <f>E199+F199</f>
        <v>0</v>
      </c>
      <c r="E199" s="2">
        <f>E61-E154</f>
        <v>0</v>
      </c>
      <c r="F199" s="2"/>
      <c r="G199" s="5">
        <f t="shared" ref="G199" si="102">H199+I199</f>
        <v>0</v>
      </c>
      <c r="H199" s="2">
        <f>H61-H154</f>
        <v>0</v>
      </c>
      <c r="I199" s="2"/>
      <c r="J199" s="36"/>
      <c r="K199" s="36"/>
      <c r="L199" s="36"/>
    </row>
    <row r="200" spans="1:12" ht="18.75" x14ac:dyDescent="0.25">
      <c r="A200" s="54" t="s">
        <v>30</v>
      </c>
      <c r="B200" s="58" t="s">
        <v>5</v>
      </c>
      <c r="C200" s="58">
        <v>290</v>
      </c>
      <c r="D200" s="5">
        <f t="shared" si="100"/>
        <v>0</v>
      </c>
      <c r="E200" s="2">
        <f>E202+E203</f>
        <v>0</v>
      </c>
      <c r="F200" s="2">
        <f>F202+F203</f>
        <v>0</v>
      </c>
      <c r="G200" s="5">
        <f t="shared" si="101"/>
        <v>0</v>
      </c>
      <c r="H200" s="2">
        <f>H202+H203</f>
        <v>0</v>
      </c>
      <c r="I200" s="2">
        <f>I202+I203</f>
        <v>0</v>
      </c>
      <c r="J200" s="36"/>
      <c r="K200" s="36"/>
      <c r="L200" s="36"/>
    </row>
    <row r="201" spans="1:12" ht="18.75" x14ac:dyDescent="0.25">
      <c r="A201" s="54" t="s">
        <v>9</v>
      </c>
      <c r="B201" s="58"/>
      <c r="C201" s="58"/>
      <c r="D201" s="5">
        <f t="shared" si="100"/>
        <v>0</v>
      </c>
      <c r="E201" s="2"/>
      <c r="F201" s="2"/>
      <c r="G201" s="5">
        <f t="shared" si="101"/>
        <v>0</v>
      </c>
      <c r="H201" s="2"/>
      <c r="I201" s="2"/>
      <c r="J201" s="36"/>
      <c r="K201" s="36"/>
      <c r="L201" s="36"/>
    </row>
    <row r="202" spans="1:12" ht="56.25" x14ac:dyDescent="0.25">
      <c r="A202" s="54" t="s">
        <v>34</v>
      </c>
      <c r="B202" s="58">
        <v>244</v>
      </c>
      <c r="C202" s="58">
        <v>296</v>
      </c>
      <c r="D202" s="5">
        <f t="shared" si="100"/>
        <v>0</v>
      </c>
      <c r="E202" s="2">
        <f>E82-E157</f>
        <v>0</v>
      </c>
      <c r="F202" s="2"/>
      <c r="G202" s="5">
        <f t="shared" si="101"/>
        <v>0</v>
      </c>
      <c r="H202" s="2">
        <f>H82-H157</f>
        <v>0</v>
      </c>
      <c r="I202" s="2"/>
      <c r="J202" s="36"/>
      <c r="K202" s="36"/>
      <c r="L202" s="36"/>
    </row>
    <row r="203" spans="1:12" ht="56.25" x14ac:dyDescent="0.25">
      <c r="A203" s="54" t="s">
        <v>35</v>
      </c>
      <c r="B203" s="58">
        <v>244</v>
      </c>
      <c r="C203" s="58">
        <v>297</v>
      </c>
      <c r="D203" s="5">
        <f t="shared" si="100"/>
        <v>0</v>
      </c>
      <c r="E203" s="2">
        <f>E89-E158</f>
        <v>0</v>
      </c>
      <c r="F203" s="2"/>
      <c r="G203" s="5">
        <f t="shared" si="101"/>
        <v>0</v>
      </c>
      <c r="H203" s="2">
        <f>H89-H158</f>
        <v>0</v>
      </c>
      <c r="I203" s="2"/>
      <c r="J203" s="36"/>
      <c r="K203" s="36"/>
      <c r="L203" s="36"/>
    </row>
    <row r="204" spans="1:12" ht="56.25" x14ac:dyDescent="0.25">
      <c r="A204" s="54" t="s">
        <v>59</v>
      </c>
      <c r="B204" s="58" t="s">
        <v>5</v>
      </c>
      <c r="C204" s="58">
        <v>300</v>
      </c>
      <c r="D204" s="5">
        <f t="shared" si="100"/>
        <v>9401903.6199999992</v>
      </c>
      <c r="E204" s="2">
        <f>E206+E208+E207</f>
        <v>9401903.6199999992</v>
      </c>
      <c r="F204" s="2">
        <f>F206+F208+F207</f>
        <v>0</v>
      </c>
      <c r="G204" s="5">
        <f t="shared" si="101"/>
        <v>9401903.6199999992</v>
      </c>
      <c r="H204" s="2">
        <f>H206+H208+H207</f>
        <v>9401903.6199999992</v>
      </c>
      <c r="I204" s="2">
        <f>I206+I208+I207</f>
        <v>0</v>
      </c>
      <c r="J204" s="36"/>
      <c r="K204" s="36"/>
      <c r="L204" s="36"/>
    </row>
    <row r="205" spans="1:12" ht="18.75" x14ac:dyDescent="0.25">
      <c r="A205" s="54" t="s">
        <v>9</v>
      </c>
      <c r="B205" s="58"/>
      <c r="C205" s="58"/>
      <c r="D205" s="5"/>
      <c r="E205" s="2"/>
      <c r="F205" s="2"/>
      <c r="G205" s="5"/>
      <c r="H205" s="2"/>
      <c r="I205" s="2"/>
      <c r="J205" s="36"/>
      <c r="K205" s="36"/>
      <c r="L205" s="36"/>
    </row>
    <row r="206" spans="1:12" ht="56.25" x14ac:dyDescent="0.25">
      <c r="A206" s="54" t="s">
        <v>36</v>
      </c>
      <c r="B206" s="58">
        <v>244</v>
      </c>
      <c r="C206" s="58">
        <v>310</v>
      </c>
      <c r="D206" s="5">
        <f t="shared" ref="D206:D208" si="103">E206+F206</f>
        <v>0</v>
      </c>
      <c r="E206" s="2">
        <f>E95-E161</f>
        <v>0</v>
      </c>
      <c r="F206" s="2"/>
      <c r="G206" s="5">
        <f t="shared" ref="G206:G208" si="104">H206+I206</f>
        <v>0</v>
      </c>
      <c r="H206" s="2">
        <f>H95-H161</f>
        <v>0</v>
      </c>
      <c r="I206" s="2"/>
      <c r="J206" s="36"/>
      <c r="K206" s="36"/>
      <c r="L206" s="36"/>
    </row>
    <row r="207" spans="1:12" ht="75" x14ac:dyDescent="0.25">
      <c r="A207" s="54" t="s">
        <v>68</v>
      </c>
      <c r="B207" s="58">
        <v>244</v>
      </c>
      <c r="C207" s="58">
        <v>320</v>
      </c>
      <c r="D207" s="5">
        <f t="shared" si="103"/>
        <v>0</v>
      </c>
      <c r="E207" s="2">
        <f>E96-E162</f>
        <v>0</v>
      </c>
      <c r="F207" s="2"/>
      <c r="G207" s="5">
        <f t="shared" si="104"/>
        <v>0</v>
      </c>
      <c r="H207" s="2">
        <f>H96-H162</f>
        <v>0</v>
      </c>
      <c r="I207" s="2"/>
      <c r="J207" s="36"/>
      <c r="K207" s="36"/>
      <c r="L207" s="36"/>
    </row>
    <row r="208" spans="1:12" ht="75" x14ac:dyDescent="0.25">
      <c r="A208" s="54" t="s">
        <v>60</v>
      </c>
      <c r="B208" s="58" t="s">
        <v>5</v>
      </c>
      <c r="C208" s="58">
        <v>340</v>
      </c>
      <c r="D208" s="5">
        <f t="shared" si="103"/>
        <v>9401903.6199999992</v>
      </c>
      <c r="E208" s="2">
        <f>E210+E211+E212+E213+E214+E215+E217</f>
        <v>9401903.6199999992</v>
      </c>
      <c r="F208" s="2">
        <f>F210+F211+F212+F213+F214+F215+F217</f>
        <v>0</v>
      </c>
      <c r="G208" s="5">
        <f t="shared" si="104"/>
        <v>9401903.6199999992</v>
      </c>
      <c r="H208" s="2">
        <f>H210+H211+H212+H213+H214+H215+H217</f>
        <v>9401903.6199999992</v>
      </c>
      <c r="I208" s="2">
        <f>I210+I211+I212+I213+I214+I215+I217</f>
        <v>0</v>
      </c>
      <c r="J208" s="36"/>
      <c r="K208" s="36"/>
      <c r="L208" s="36"/>
    </row>
    <row r="209" spans="1:12" ht="18.75" x14ac:dyDescent="0.25">
      <c r="A209" s="54" t="s">
        <v>6</v>
      </c>
      <c r="B209" s="58"/>
      <c r="C209" s="58"/>
      <c r="D209" s="5"/>
      <c r="E209" s="2"/>
      <c r="F209" s="2"/>
      <c r="G209" s="5"/>
      <c r="H209" s="2"/>
      <c r="I209" s="2"/>
      <c r="J209" s="36"/>
      <c r="K209" s="36"/>
      <c r="L209" s="36"/>
    </row>
    <row r="210" spans="1:12" ht="131.25" x14ac:dyDescent="0.25">
      <c r="A210" s="54" t="s">
        <v>37</v>
      </c>
      <c r="B210" s="58">
        <v>244</v>
      </c>
      <c r="C210" s="58">
        <v>341</v>
      </c>
      <c r="D210" s="5">
        <f t="shared" ref="D210:D217" si="105">E210+F210</f>
        <v>0</v>
      </c>
      <c r="E210" s="2">
        <f t="shared" ref="E210:E216" si="106">E99-E165</f>
        <v>0</v>
      </c>
      <c r="F210" s="2"/>
      <c r="G210" s="5">
        <f t="shared" ref="G210:G217" si="107">H210+I210</f>
        <v>0</v>
      </c>
      <c r="H210" s="2">
        <f t="shared" ref="H210:H216" si="108">H99-H165</f>
        <v>0</v>
      </c>
      <c r="I210" s="2"/>
      <c r="J210" s="36"/>
      <c r="K210" s="36"/>
      <c r="L210" s="36"/>
    </row>
    <row r="211" spans="1:12" ht="56.25" x14ac:dyDescent="0.25">
      <c r="A211" s="54" t="s">
        <v>38</v>
      </c>
      <c r="B211" s="58">
        <v>244</v>
      </c>
      <c r="C211" s="58">
        <v>342</v>
      </c>
      <c r="D211" s="5">
        <f t="shared" si="105"/>
        <v>0</v>
      </c>
      <c r="E211" s="2">
        <f t="shared" si="106"/>
        <v>0</v>
      </c>
      <c r="F211" s="2"/>
      <c r="G211" s="5">
        <f t="shared" si="107"/>
        <v>0</v>
      </c>
      <c r="H211" s="2">
        <f t="shared" si="108"/>
        <v>0</v>
      </c>
      <c r="I211" s="2"/>
      <c r="J211" s="36"/>
      <c r="K211" s="36"/>
      <c r="L211" s="36"/>
    </row>
    <row r="212" spans="1:12" ht="75" x14ac:dyDescent="0.25">
      <c r="A212" s="54" t="s">
        <v>39</v>
      </c>
      <c r="B212" s="58">
        <v>244</v>
      </c>
      <c r="C212" s="58">
        <v>343</v>
      </c>
      <c r="D212" s="5">
        <f t="shared" si="105"/>
        <v>290000</v>
      </c>
      <c r="E212" s="2">
        <f t="shared" si="106"/>
        <v>290000</v>
      </c>
      <c r="F212" s="2"/>
      <c r="G212" s="5">
        <f t="shared" si="107"/>
        <v>290000</v>
      </c>
      <c r="H212" s="2">
        <f t="shared" si="108"/>
        <v>290000</v>
      </c>
      <c r="I212" s="2"/>
      <c r="J212" s="36"/>
      <c r="K212" s="36"/>
      <c r="L212" s="36"/>
    </row>
    <row r="213" spans="1:12" ht="75" x14ac:dyDescent="0.25">
      <c r="A213" s="54" t="s">
        <v>40</v>
      </c>
      <c r="B213" s="58">
        <v>244</v>
      </c>
      <c r="C213" s="58">
        <v>344</v>
      </c>
      <c r="D213" s="5">
        <f t="shared" si="105"/>
        <v>200000</v>
      </c>
      <c r="E213" s="2">
        <f t="shared" si="106"/>
        <v>200000</v>
      </c>
      <c r="F213" s="2"/>
      <c r="G213" s="5">
        <f t="shared" si="107"/>
        <v>200000</v>
      </c>
      <c r="H213" s="2">
        <f t="shared" si="108"/>
        <v>200000</v>
      </c>
      <c r="I213" s="2"/>
      <c r="J213" s="36"/>
      <c r="K213" s="36"/>
      <c r="L213" s="36"/>
    </row>
    <row r="214" spans="1:12" ht="56.25" x14ac:dyDescent="0.25">
      <c r="A214" s="54" t="s">
        <v>41</v>
      </c>
      <c r="B214" s="58">
        <v>244</v>
      </c>
      <c r="C214" s="58">
        <v>345</v>
      </c>
      <c r="D214" s="5">
        <f t="shared" si="105"/>
        <v>334245</v>
      </c>
      <c r="E214" s="2">
        <f t="shared" si="106"/>
        <v>334245</v>
      </c>
      <c r="F214" s="2"/>
      <c r="G214" s="5">
        <f t="shared" si="107"/>
        <v>334245</v>
      </c>
      <c r="H214" s="2">
        <f t="shared" si="108"/>
        <v>334245</v>
      </c>
      <c r="I214" s="2"/>
      <c r="J214" s="36"/>
      <c r="K214" s="36"/>
      <c r="L214" s="36"/>
    </row>
    <row r="215" spans="1:12" ht="75" x14ac:dyDescent="0.25">
      <c r="A215" s="54" t="s">
        <v>42</v>
      </c>
      <c r="B215" s="58">
        <v>244</v>
      </c>
      <c r="C215" s="58">
        <v>346</v>
      </c>
      <c r="D215" s="5">
        <f t="shared" si="105"/>
        <v>8428958.6199999992</v>
      </c>
      <c r="E215" s="2">
        <f t="shared" si="106"/>
        <v>8428958.6199999992</v>
      </c>
      <c r="F215" s="2"/>
      <c r="G215" s="5">
        <f t="shared" si="107"/>
        <v>8428958.6199999992</v>
      </c>
      <c r="H215" s="2">
        <f t="shared" si="108"/>
        <v>8428958.6199999992</v>
      </c>
      <c r="I215" s="2"/>
      <c r="J215" s="36"/>
      <c r="K215" s="36"/>
      <c r="L215" s="36"/>
    </row>
    <row r="216" spans="1:12" ht="112.5" x14ac:dyDescent="0.25">
      <c r="A216" s="170" t="s">
        <v>341</v>
      </c>
      <c r="B216" s="171">
        <v>244</v>
      </c>
      <c r="C216" s="171">
        <v>347</v>
      </c>
      <c r="D216" s="5">
        <f>E216+F216</f>
        <v>0</v>
      </c>
      <c r="E216" s="2">
        <f t="shared" si="106"/>
        <v>0</v>
      </c>
      <c r="F216" s="2"/>
      <c r="G216" s="5">
        <f t="shared" ref="G216" si="109">H216+I216</f>
        <v>0</v>
      </c>
      <c r="H216" s="2">
        <f t="shared" si="108"/>
        <v>0</v>
      </c>
      <c r="I216" s="2"/>
      <c r="J216" s="36"/>
      <c r="K216" s="36"/>
      <c r="L216" s="36"/>
    </row>
    <row r="217" spans="1:12" ht="112.5" x14ac:dyDescent="0.25">
      <c r="A217" s="54" t="s">
        <v>43</v>
      </c>
      <c r="B217" s="58">
        <v>244</v>
      </c>
      <c r="C217" s="58">
        <v>349</v>
      </c>
      <c r="D217" s="5">
        <f t="shared" si="105"/>
        <v>148700</v>
      </c>
      <c r="E217" s="2">
        <f t="shared" ref="E217" si="110">E106-E172</f>
        <v>148700</v>
      </c>
      <c r="F217" s="2"/>
      <c r="G217" s="5">
        <f t="shared" si="107"/>
        <v>148700</v>
      </c>
      <c r="H217" s="2">
        <f t="shared" ref="H217" si="111">H106-H172</f>
        <v>148700</v>
      </c>
      <c r="I217" s="2"/>
      <c r="J217" s="36"/>
      <c r="K217" s="36"/>
      <c r="L217" s="36"/>
    </row>
  </sheetData>
  <mergeCells count="39">
    <mergeCell ref="B114:C114"/>
    <mergeCell ref="E114:F114"/>
    <mergeCell ref="B117:C117"/>
    <mergeCell ref="E117:F117"/>
    <mergeCell ref="A30:A31"/>
    <mergeCell ref="A36:A37"/>
    <mergeCell ref="A51:A52"/>
    <mergeCell ref="A68:A69"/>
    <mergeCell ref="A75:A77"/>
    <mergeCell ref="A82:A87"/>
    <mergeCell ref="A89:A92"/>
    <mergeCell ref="A54:A59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21:C121"/>
    <mergeCell ref="E121:F121"/>
    <mergeCell ref="A123:B123"/>
    <mergeCell ref="B115:C115"/>
    <mergeCell ref="E115:F115"/>
    <mergeCell ref="B118:C118"/>
    <mergeCell ref="E118:F118"/>
    <mergeCell ref="B120:C120"/>
    <mergeCell ref="E120:F120"/>
    <mergeCell ref="N124:P124"/>
    <mergeCell ref="A124:I124"/>
    <mergeCell ref="A193:A194"/>
    <mergeCell ref="A196:A197"/>
    <mergeCell ref="A128:I128"/>
    <mergeCell ref="A173:I173"/>
    <mergeCell ref="K124:M124"/>
    <mergeCell ref="A148:A149"/>
    <mergeCell ref="A151:A152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4" max="8" man="1"/>
    <brk id="76" max="8" man="1"/>
    <brk id="92" max="8" man="1"/>
    <brk id="103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topLeftCell="A109" zoomScaleNormal="100" zoomScaleSheetLayoutView="100" workbookViewId="0">
      <selection activeCell="G9" sqref="G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267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484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450</v>
      </c>
      <c r="F5" s="234"/>
      <c r="G5" s="234" t="s">
        <v>1</v>
      </c>
      <c r="H5" s="234" t="s">
        <v>487</v>
      </c>
      <c r="I5" s="234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7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86471852.88000001</v>
      </c>
      <c r="E9" s="90">
        <f>E10+E11</f>
        <v>86471852.88000001</v>
      </c>
      <c r="F9" s="90"/>
      <c r="G9" s="41">
        <f t="shared" ref="G9:G10" si="0">H9+I9</f>
        <v>86471851.400000006</v>
      </c>
      <c r="H9" s="90">
        <f>H10+H11</f>
        <v>86471851.400000006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86471852.88000001</v>
      </c>
      <c r="E10" s="2">
        <f>E13+E46+E61+E94</f>
        <v>86471852.88000001</v>
      </c>
      <c r="F10" s="2">
        <f>F13+F46+F61+F94</f>
        <v>0</v>
      </c>
      <c r="G10" s="5">
        <f t="shared" si="0"/>
        <v>86471851.400000006</v>
      </c>
      <c r="H10" s="2">
        <f>H13+H46+H61+H94</f>
        <v>86471851.400000006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2342695.91</v>
      </c>
      <c r="E13" s="2">
        <f>E15+E18+E42</f>
        <v>2342695.91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'!E133</f>
        <v>0</v>
      </c>
      <c r="F17" s="2">
        <f>'гос.задание на 2024-2025 год '!F133</f>
        <v>0</v>
      </c>
      <c r="G17" s="5">
        <f>H17+I17</f>
        <v>0</v>
      </c>
      <c r="H17" s="2">
        <f>'гос.задание на 2024-2025 год '!H133</f>
        <v>0</v>
      </c>
      <c r="I17" s="2">
        <f>'гос.задание на 2024-2025 год '!I133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2342695.91</v>
      </c>
      <c r="E18" s="2">
        <f>E20+E21+E22+E33+E34+E37+E40</f>
        <v>2342695.91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188400</v>
      </c>
      <c r="E20" s="2">
        <f>'гос.задание на 2024-2025 год '!E136</f>
        <v>188400</v>
      </c>
      <c r="F20" s="2">
        <f>'гос.задание на 2024-2025 год '!F136</f>
        <v>0</v>
      </c>
      <c r="G20" s="5">
        <f t="shared" ref="G20:G22" si="6">H20+I20</f>
        <v>0</v>
      </c>
      <c r="H20" s="2">
        <f>'гос.задание на 2024-2025 год '!H136</f>
        <v>0</v>
      </c>
      <c r="I20" s="2">
        <f>'гос.задание на 2024-2025 год '!I136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'!E137</f>
        <v>0</v>
      </c>
      <c r="F21" s="2">
        <f>'гос.задание на 2024-2025 год '!F137</f>
        <v>0</v>
      </c>
      <c r="G21" s="5">
        <f t="shared" si="6"/>
        <v>0</v>
      </c>
      <c r="H21" s="2">
        <f>'гос.задание на 2024-2025 год '!H137</f>
        <v>0</v>
      </c>
      <c r="I21" s="2">
        <f>'гос.задание на 2024-2025 год '!I137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661963.61</v>
      </c>
      <c r="E22" s="2">
        <f t="shared" ref="E22:F22" si="7">E25+E27+E29+E30+E31</f>
        <v>661963.61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'!E139</f>
        <v>0</v>
      </c>
      <c r="F24" s="2">
        <f>'гос.задание на 2024-2025 год '!F139</f>
        <v>0</v>
      </c>
      <c r="G24" s="5">
        <f t="shared" ref="G24" si="10">H24+I24</f>
        <v>0</v>
      </c>
      <c r="H24" s="2">
        <f>'гос.задание на 2024-2025 год '!H139</f>
        <v>0</v>
      </c>
      <c r="I24" s="2">
        <f>'гос.задание на 2024-2025 год '!I139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'!E140</f>
        <v>0</v>
      </c>
      <c r="F25" s="2">
        <f>'гос.задание на 2024-2025 год '!F140</f>
        <v>0</v>
      </c>
      <c r="G25" s="5">
        <f t="shared" ref="G25:G33" si="11">H25+I25</f>
        <v>0</v>
      </c>
      <c r="H25" s="2">
        <f>'гос.задание на 2024-2025 год '!H140</f>
        <v>0</v>
      </c>
      <c r="I25" s="2">
        <f>'гос.задание на 2024-2025 год '!I140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'!E140</f>
        <v>0</v>
      </c>
      <c r="F26" s="2">
        <f>'гос.задание на 2024-2025 год '!F140</f>
        <v>0</v>
      </c>
      <c r="G26" s="5">
        <f t="shared" ref="G26" si="13">H26+I26</f>
        <v>0</v>
      </c>
      <c r="H26" s="2">
        <f>'гос.задание на 2024-2025 год '!H140</f>
        <v>0</v>
      </c>
      <c r="I26" s="2">
        <f>'гос.задание на 2024-2025 год '!I140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282253.61</v>
      </c>
      <c r="E27" s="2">
        <f>'гос.задание на 2024-2025 год '!E141</f>
        <v>282253.61</v>
      </c>
      <c r="F27" s="2">
        <f>'гос.задание на 2024-2025 год '!F141</f>
        <v>0</v>
      </c>
      <c r="G27" s="5">
        <f t="shared" si="11"/>
        <v>0</v>
      </c>
      <c r="H27" s="2">
        <f>'гос.задание на 2024-2025 год '!H141</f>
        <v>0</v>
      </c>
      <c r="I27" s="2">
        <f>'гос.задание на 2024-2025 год '!I141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'!F141</f>
        <v>0</v>
      </c>
      <c r="G28" s="5">
        <f t="shared" ref="G28" si="15">H28+I28</f>
        <v>0</v>
      </c>
      <c r="H28" s="2">
        <f>'гос.задание на 2024-2025 год '!H141</f>
        <v>0</v>
      </c>
      <c r="I28" s="2">
        <f>'гос.задание на 2024-2025 год '!I141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379710</v>
      </c>
      <c r="E29" s="2">
        <f>'гос.задание на 2024-2025 год '!E142</f>
        <v>379710</v>
      </c>
      <c r="F29" s="2">
        <f>'гос.задание на 2024-2025 год '!F142</f>
        <v>0</v>
      </c>
      <c r="G29" s="5">
        <f t="shared" si="11"/>
        <v>0</v>
      </c>
      <c r="H29" s="2">
        <f>'гос.задание на 2024-2025 год '!H142</f>
        <v>0</v>
      </c>
      <c r="I29" s="2">
        <f>'гос.задание на 2024-2025 год '!I142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'!E143</f>
        <v>0</v>
      </c>
      <c r="F30" s="2">
        <f>'гос.задание на 2024-2025 год '!F143</f>
        <v>0</v>
      </c>
      <c r="G30" s="5">
        <f t="shared" si="11"/>
        <v>0</v>
      </c>
      <c r="H30" s="2">
        <f>'гос.задание на 2024-2025 год '!H143</f>
        <v>0</v>
      </c>
      <c r="I30" s="2">
        <f>'гос.задание на 2024-2025 год '!I143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'!E144</f>
        <v>0</v>
      </c>
      <c r="F31" s="2">
        <f>'гос.задание на 2024-2025 год '!F144</f>
        <v>0</v>
      </c>
      <c r="G31" s="5">
        <f t="shared" si="11"/>
        <v>0</v>
      </c>
      <c r="H31" s="2">
        <f>'гос.задание на 2024-2025 год '!H144</f>
        <v>0</v>
      </c>
      <c r="I31" s="2">
        <f>'гос.задание на 2024-2025 год '!I144</f>
        <v>0</v>
      </c>
    </row>
    <row r="32" spans="1:9" ht="56.25" x14ac:dyDescent="0.25">
      <c r="A32" s="194" t="s">
        <v>436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'!E145</f>
        <v>0</v>
      </c>
      <c r="F32" s="2">
        <f>'гос.задание на 2024-2025 год '!F145</f>
        <v>0</v>
      </c>
      <c r="G32" s="5">
        <f t="shared" ref="G32" si="17">H32+I32</f>
        <v>0</v>
      </c>
      <c r="H32" s="2">
        <f>'гос.задание на 2024-2025 год '!H145</f>
        <v>0</v>
      </c>
      <c r="I32" s="2">
        <f>'гос.задание на 2024-2025 год '!I145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'!E146</f>
        <v>0</v>
      </c>
      <c r="F33" s="2">
        <f>'гос.задание на 2024-2025 год '!F146</f>
        <v>0</v>
      </c>
      <c r="G33" s="5">
        <f t="shared" si="11"/>
        <v>0</v>
      </c>
      <c r="H33" s="2">
        <f>'гос.задание на 2024-2025 год '!H146</f>
        <v>0</v>
      </c>
      <c r="I33" s="2">
        <f>'гос.задание на 2024-2025 год '!I146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800479.3</v>
      </c>
      <c r="E34" s="2">
        <f>E35+E36</f>
        <v>800479.3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4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'!E148</f>
        <v>0</v>
      </c>
      <c r="F35" s="2">
        <f>'гос.задание на 2024-2025 год '!F148</f>
        <v>0</v>
      </c>
      <c r="G35" s="5">
        <f t="shared" ref="G35:G46" si="21">H35+I35</f>
        <v>0</v>
      </c>
      <c r="H35" s="2">
        <f>'гос.задание на 2024-2025 год '!H148</f>
        <v>0</v>
      </c>
      <c r="I35" s="2">
        <f>'гос.задание на 2024-2025 год '!I148</f>
        <v>0</v>
      </c>
    </row>
    <row r="36" spans="1:9" ht="18.75" x14ac:dyDescent="0.25">
      <c r="A36" s="224"/>
      <c r="B36" s="119">
        <v>244</v>
      </c>
      <c r="C36" s="119">
        <v>225</v>
      </c>
      <c r="D36" s="5">
        <f t="shared" si="2"/>
        <v>800479.3</v>
      </c>
      <c r="E36" s="2">
        <f>'гос.задание на 2024-2025 год '!E149</f>
        <v>800479.3</v>
      </c>
      <c r="F36" s="2">
        <f>'гос.задание на 2024-2025 год '!F149</f>
        <v>0</v>
      </c>
      <c r="G36" s="5">
        <f t="shared" si="21"/>
        <v>0</v>
      </c>
      <c r="H36" s="2">
        <f>'гос.задание на 2024-2025 год '!H149</f>
        <v>0</v>
      </c>
      <c r="I36" s="2">
        <f>'гос.задание на 2024-2025 год '!I149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691853</v>
      </c>
      <c r="E37" s="2">
        <f>E38+E39</f>
        <v>691853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4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'!E151</f>
        <v>0</v>
      </c>
      <c r="F38" s="2">
        <f>'гос.задание на 2024-2025 год '!F151</f>
        <v>0</v>
      </c>
      <c r="G38" s="5">
        <f t="shared" si="21"/>
        <v>0</v>
      </c>
      <c r="H38" s="2">
        <f>'гос.задание на 2024-2025 год '!H151</f>
        <v>0</v>
      </c>
      <c r="I38" s="2">
        <f>'гос.задание на 2024-2025 год '!I151</f>
        <v>0</v>
      </c>
    </row>
    <row r="39" spans="1:9" ht="18.75" x14ac:dyDescent="0.25">
      <c r="A39" s="224"/>
      <c r="B39" s="119">
        <v>244</v>
      </c>
      <c r="C39" s="119">
        <v>226</v>
      </c>
      <c r="D39" s="5">
        <f t="shared" si="2"/>
        <v>691853</v>
      </c>
      <c r="E39" s="2">
        <f>'гос.задание на 2024-2025 год '!E152</f>
        <v>691853</v>
      </c>
      <c r="F39" s="2">
        <f>'гос.задание на 2024-2025 год '!F152</f>
        <v>0</v>
      </c>
      <c r="G39" s="5">
        <f t="shared" si="21"/>
        <v>0</v>
      </c>
      <c r="H39" s="2">
        <f>'гос.задание на 2024-2025 год '!H152</f>
        <v>0</v>
      </c>
      <c r="I39" s="2">
        <f>'гос.задание на 2024-2025 год '!I152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'!E153</f>
        <v>0</v>
      </c>
      <c r="F40" s="2">
        <f>'гос.задание на 2024-2025 год '!F153</f>
        <v>0</v>
      </c>
      <c r="G40" s="5">
        <f t="shared" si="21"/>
        <v>0</v>
      </c>
      <c r="H40" s="2">
        <f>'гос.задание на 2024-2025 год '!H153</f>
        <v>0</v>
      </c>
      <c r="I40" s="2">
        <f>'гос.задание на 2024-2025 год '!I153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'!E155</f>
        <v>0</v>
      </c>
      <c r="F41" s="2">
        <f>'гос.задание на 2024-2025 год '!F155</f>
        <v>0</v>
      </c>
      <c r="G41" s="5">
        <f t="shared" ref="G41:G42" si="22">H41+I41</f>
        <v>0</v>
      </c>
      <c r="H41" s="2">
        <f>'гос.задание на 2024-2025 год '!H155</f>
        <v>0</v>
      </c>
      <c r="I41" s="2">
        <f>'гос.задание на 2024-2025 год '!I155</f>
        <v>0</v>
      </c>
    </row>
    <row r="42" spans="1:9" ht="150" x14ac:dyDescent="0.25">
      <c r="A42" s="115" t="s">
        <v>490</v>
      </c>
      <c r="B42" s="119">
        <v>244</v>
      </c>
      <c r="C42" s="119">
        <v>229</v>
      </c>
      <c r="D42" s="5">
        <f t="shared" ref="D42" si="23">E42+F42</f>
        <v>0</v>
      </c>
      <c r="E42" s="2">
        <v>0</v>
      </c>
      <c r="F42" s="2">
        <v>0</v>
      </c>
      <c r="G42" s="5">
        <f t="shared" si="22"/>
        <v>0</v>
      </c>
      <c r="H42" s="2">
        <v>0</v>
      </c>
      <c r="I42" s="4"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'!E157</f>
        <v>0</v>
      </c>
      <c r="F44" s="2">
        <f>'гос.задание на 2024-2025 год '!F157</f>
        <v>0</v>
      </c>
      <c r="G44" s="5">
        <f t="shared" si="21"/>
        <v>0</v>
      </c>
      <c r="H44" s="2">
        <f>'гос.задание на 2024-2025 год '!H157</f>
        <v>0</v>
      </c>
      <c r="I44" s="2">
        <f>'гос.задание на 2024-2025 год '!I157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'!E158</f>
        <v>0</v>
      </c>
      <c r="F45" s="2">
        <f>'гос.задание на 2024-2025 год '!F158</f>
        <v>0</v>
      </c>
      <c r="G45" s="5">
        <f t="shared" si="21"/>
        <v>0</v>
      </c>
      <c r="H45" s="2">
        <f>'гос.задание на 2024-2025 год '!H158</f>
        <v>0</v>
      </c>
      <c r="I45" s="2">
        <f>'гос.задание на 2024-2025 год '!I158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'!E161</f>
        <v>0</v>
      </c>
      <c r="F48" s="2">
        <f>'гос.задание на 2024-2025 год '!F161</f>
        <v>0</v>
      </c>
      <c r="G48" s="5">
        <f t="shared" ref="G48:G50" si="24">H48+I48</f>
        <v>0</v>
      </c>
      <c r="H48" s="2">
        <f>'гос.задание на 2024-2025 год '!H161</f>
        <v>0</v>
      </c>
      <c r="I48" s="2">
        <f>'гос.задание на 2024-2025 год '!I161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'!E162</f>
        <v>0</v>
      </c>
      <c r="F49" s="2">
        <f>'гос.задание на 2024-2025 год '!F162</f>
        <v>0</v>
      </c>
      <c r="G49" s="5">
        <f t="shared" si="24"/>
        <v>0</v>
      </c>
      <c r="H49" s="2">
        <f>'гос.задание на 2024-2025 год '!H162</f>
        <v>0</v>
      </c>
      <c r="I49" s="2">
        <f>'гос.задание на 2024-2025 год '!I162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4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5">E52+F52</f>
        <v>0</v>
      </c>
      <c r="E52" s="2">
        <f>'гос.задание на 2024-2025 год '!E165</f>
        <v>0</v>
      </c>
      <c r="F52" s="2">
        <f>'гос.задание на 2024-2025 год '!F165</f>
        <v>0</v>
      </c>
      <c r="G52" s="5">
        <f t="shared" ref="G52:G59" si="26">H52+I52</f>
        <v>0</v>
      </c>
      <c r="H52" s="2">
        <f>'гос.задание на 2024-2025 год '!H165</f>
        <v>0</v>
      </c>
      <c r="I52" s="2">
        <f>'гос.задание на 2024-2025 год '!I165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5"/>
        <v>0</v>
      </c>
      <c r="E53" s="2">
        <f>'гос.задание на 2024-2025 год '!E166</f>
        <v>0</v>
      </c>
      <c r="F53" s="2">
        <f>'гос.задание на 2024-2025 год '!F166</f>
        <v>0</v>
      </c>
      <c r="G53" s="5">
        <f t="shared" si="26"/>
        <v>0</v>
      </c>
      <c r="H53" s="2">
        <f>'гос.задание на 2024-2025 год '!H166</f>
        <v>0</v>
      </c>
      <c r="I53" s="2">
        <f>'гос.задание на 2024-2025 год '!I166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5"/>
        <v>0</v>
      </c>
      <c r="E54" s="2">
        <f>'гос.задание на 2024-2025 год '!E167</f>
        <v>0</v>
      </c>
      <c r="F54" s="2">
        <f>'гос.задание на 2024-2025 год '!F167</f>
        <v>0</v>
      </c>
      <c r="G54" s="5">
        <f t="shared" si="26"/>
        <v>0</v>
      </c>
      <c r="H54" s="2">
        <f>'гос.задание на 2024-2025 год '!H167</f>
        <v>0</v>
      </c>
      <c r="I54" s="2">
        <f>'гос.задание на 2024-2025 год '!I167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5"/>
        <v>0</v>
      </c>
      <c r="E55" s="2">
        <f>'гос.задание на 2024-2025 год '!E168</f>
        <v>0</v>
      </c>
      <c r="F55" s="2">
        <f>'гос.задание на 2024-2025 год '!F168</f>
        <v>0</v>
      </c>
      <c r="G55" s="5">
        <f t="shared" si="26"/>
        <v>0</v>
      </c>
      <c r="H55" s="2">
        <f>'гос.задание на 2024-2025 год '!H168</f>
        <v>0</v>
      </c>
      <c r="I55" s="2">
        <f>'гос.задание на 2024-2025 год '!I168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5"/>
        <v>0</v>
      </c>
      <c r="E56" s="2">
        <f>'гос.задание на 2024-2025 год '!E169</f>
        <v>0</v>
      </c>
      <c r="F56" s="2">
        <f>'гос.задание на 2024-2025 год '!F169</f>
        <v>0</v>
      </c>
      <c r="G56" s="5">
        <f t="shared" si="26"/>
        <v>0</v>
      </c>
      <c r="H56" s="2">
        <f>'гос.задание на 2024-2025 год '!H169</f>
        <v>0</v>
      </c>
      <c r="I56" s="2">
        <f>'гос.задание на 2024-2025 год '!I169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5"/>
        <v>0</v>
      </c>
      <c r="E57" s="2">
        <f>'гос.задание на 2024-2025 год '!E170</f>
        <v>0</v>
      </c>
      <c r="F57" s="2">
        <f>'гос.задание на 2024-2025 год '!F170</f>
        <v>0</v>
      </c>
      <c r="G57" s="5">
        <f t="shared" si="26"/>
        <v>0</v>
      </c>
      <c r="H57" s="2">
        <f>'гос.задание на 2024-2025 год '!H170</f>
        <v>0</v>
      </c>
      <c r="I57" s="2">
        <f>'гос.задание на 2024-2025 год '!I170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'!E171</f>
        <v>0</v>
      </c>
      <c r="F58" s="2">
        <f>'гос.задание на 2024-2025 год '!F171</f>
        <v>0</v>
      </c>
      <c r="G58" s="5">
        <f t="shared" ref="G58" si="27">H58+I58</f>
        <v>0</v>
      </c>
      <c r="H58" s="2">
        <f>'гос.задание на 2024-2025 год '!H171</f>
        <v>0</v>
      </c>
      <c r="I58" s="2">
        <f>'гос.задание на 2024-2025 год '!I171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5"/>
        <v>0</v>
      </c>
      <c r="E59" s="2">
        <f>'гос.задание на 2024-2025 год '!E172</f>
        <v>0</v>
      </c>
      <c r="F59" s="2">
        <f>'гос.задание на 2024-2025 год '!F172</f>
        <v>0</v>
      </c>
      <c r="G59" s="5">
        <f t="shared" si="26"/>
        <v>0</v>
      </c>
      <c r="H59" s="2">
        <f>'гос.задание на 2024-2025 год '!H172</f>
        <v>0</v>
      </c>
      <c r="I59" s="2">
        <f>'гос.задание на 2024-2025 год '!I172</f>
        <v>0</v>
      </c>
    </row>
    <row r="60" spans="1:9" ht="32.450000000000003" customHeight="1" x14ac:dyDescent="0.25">
      <c r="A60" s="331" t="s">
        <v>202</v>
      </c>
      <c r="B60" s="332"/>
      <c r="C60" s="332"/>
      <c r="D60" s="332"/>
      <c r="E60" s="332"/>
      <c r="F60" s="332"/>
      <c r="G60" s="332"/>
      <c r="H60" s="332"/>
      <c r="I60" s="333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8">E61+F61</f>
        <v>74727253.350000009</v>
      </c>
      <c r="E61" s="2">
        <f>E63+E66+E90</f>
        <v>74727253.350000009</v>
      </c>
      <c r="F61" s="2">
        <f>F63+F66+F90</f>
        <v>0</v>
      </c>
      <c r="G61" s="5">
        <f t="shared" ref="G61" si="29">H61+I61</f>
        <v>77069947.780000001</v>
      </c>
      <c r="H61" s="2">
        <f>H63+H66+H90</f>
        <v>77069947.780000001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30">E63+F63</f>
        <v>0</v>
      </c>
      <c r="E63" s="2">
        <f>E65</f>
        <v>0</v>
      </c>
      <c r="F63" s="2">
        <f>F65</f>
        <v>0</v>
      </c>
      <c r="G63" s="5">
        <f t="shared" ref="G63" si="31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'!E178</f>
        <v>0</v>
      </c>
      <c r="F65" s="2">
        <f>'гос.задание на 2024-2025 год '!F178</f>
        <v>0</v>
      </c>
      <c r="G65" s="5">
        <f>H65+I65</f>
        <v>0</v>
      </c>
      <c r="H65" s="2">
        <f>'гос.задание на 2024-2025 год '!H178</f>
        <v>0</v>
      </c>
      <c r="I65" s="2">
        <f>'гос.задание на 2024-2025 год '!I178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2">E66+F66</f>
        <v>74727253.350000009</v>
      </c>
      <c r="E66" s="2">
        <f>E68+E69+E70+E81+E82+E85+E88+E89</f>
        <v>74727253.350000009</v>
      </c>
      <c r="F66" s="2">
        <f>F68+F69+F70+F81+F82+F85+F88+F89</f>
        <v>0</v>
      </c>
      <c r="G66" s="5">
        <f t="shared" ref="G66" si="33">H66+I66</f>
        <v>77069947.780000001</v>
      </c>
      <c r="H66" s="2">
        <f>H68+H69+H70+H81+H82+H85+H88+H89</f>
        <v>77069947.780000001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4">E68+F68</f>
        <v>2189240</v>
      </c>
      <c r="E68" s="2">
        <f>'гос.задание на 2024-2025 год '!E181</f>
        <v>2189240</v>
      </c>
      <c r="F68" s="2">
        <f>'гос.задание на 2024-2025 год '!F181</f>
        <v>0</v>
      </c>
      <c r="G68" s="5">
        <f t="shared" ref="G68:G70" si="35">H68+I68</f>
        <v>2377640</v>
      </c>
      <c r="H68" s="2">
        <f>'гос.задание на 2024-2025 год '!H181</f>
        <v>2377640</v>
      </c>
      <c r="I68" s="2">
        <f>'гос.задание на 2024-2025 год '!I181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4"/>
        <v>0</v>
      </c>
      <c r="E69" s="2">
        <f>'гос.задание на 2024-2025 год '!E182</f>
        <v>0</v>
      </c>
      <c r="F69" s="2">
        <f>'гос.задание на 2024-2025 год '!F182</f>
        <v>0</v>
      </c>
      <c r="G69" s="5">
        <f t="shared" si="35"/>
        <v>0</v>
      </c>
      <c r="H69" s="2">
        <f>'гос.задание на 2024-2025 год '!H182</f>
        <v>0</v>
      </c>
      <c r="I69" s="2">
        <f>'гос.задание на 2024-2025 год '!I182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4"/>
        <v>36912820.979999997</v>
      </c>
      <c r="E70" s="2">
        <f t="shared" ref="E70:F70" si="36">E73+E75+E77+E78+E79</f>
        <v>36912820.979999997</v>
      </c>
      <c r="F70" s="2">
        <f t="shared" si="36"/>
        <v>0</v>
      </c>
      <c r="G70" s="5">
        <f t="shared" si="35"/>
        <v>37574784.590000004</v>
      </c>
      <c r="H70" s="2">
        <f t="shared" ref="H70:I70" si="37">H73+H75+H77+H78+H79</f>
        <v>37574784.590000004</v>
      </c>
      <c r="I70" s="2">
        <f t="shared" si="37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8">E72+F72</f>
        <v>0</v>
      </c>
      <c r="E72" s="2">
        <f>'гос.задание на 2024-2025 год '!E184</f>
        <v>0</v>
      </c>
      <c r="F72" s="2">
        <f>'гос.задание на 2024-2025 год '!F184</f>
        <v>0</v>
      </c>
      <c r="G72" s="5">
        <f t="shared" ref="G72" si="39">H72+I72</f>
        <v>0</v>
      </c>
      <c r="H72" s="2">
        <f>'гос.задание на 2024-2025 год '!H184</f>
        <v>0</v>
      </c>
      <c r="I72" s="2">
        <f>'гос.задание на 2024-2025 год '!I184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40">E73+F73</f>
        <v>0</v>
      </c>
      <c r="E73" s="2">
        <f>'гос.задание на 2024-2025 год '!E185</f>
        <v>0</v>
      </c>
      <c r="F73" s="2">
        <f>'гос.задание на 2024-2025 год '!F185</f>
        <v>0</v>
      </c>
      <c r="G73" s="5">
        <f t="shared" ref="G73:G81" si="41">H73+I73</f>
        <v>0</v>
      </c>
      <c r="H73" s="2">
        <f>'гос.задание на 2024-2025 год '!H185</f>
        <v>0</v>
      </c>
      <c r="I73" s="2">
        <f>'гос.задание на 2024-2025 год '!I185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2">E74+F74</f>
        <v>0</v>
      </c>
      <c r="E74" s="2">
        <f>'гос.задание на 2024-2025 год '!E185</f>
        <v>0</v>
      </c>
      <c r="F74" s="2">
        <f>'гос.задание на 2024-2025 год '!F185</f>
        <v>0</v>
      </c>
      <c r="G74" s="5">
        <f t="shared" ref="G74" si="43">H74+I74</f>
        <v>0</v>
      </c>
      <c r="H74" s="2">
        <f>'гос.задание на 2024-2025 год '!H185</f>
        <v>0</v>
      </c>
      <c r="I74" s="2">
        <f>'гос.задание на 2024-2025 год '!I185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40"/>
        <v>3488749.15</v>
      </c>
      <c r="E75" s="2">
        <f>'гос.задание на 2024-2025 год '!E186</f>
        <v>3488749.15</v>
      </c>
      <c r="F75" s="2">
        <f>'гос.задание на 2024-2025 год '!F186</f>
        <v>0</v>
      </c>
      <c r="G75" s="5">
        <f t="shared" si="41"/>
        <v>3771002.76</v>
      </c>
      <c r="H75" s="2">
        <f>'гос.задание на 2024-2025 год '!H186</f>
        <v>3771002.76</v>
      </c>
      <c r="I75" s="2">
        <f>'гос.задание на 2024-2025 год '!I186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4">E76+F76</f>
        <v>0</v>
      </c>
      <c r="E76" s="2">
        <v>0</v>
      </c>
      <c r="F76" s="2">
        <f>'гос.задание на 2024-2025 год '!F186</f>
        <v>0</v>
      </c>
      <c r="G76" s="5">
        <f t="shared" ref="G76" si="45">H76+I76</f>
        <v>0</v>
      </c>
      <c r="H76" s="2">
        <v>0</v>
      </c>
      <c r="I76" s="2">
        <f>'гос.задание на 2024-2025 год '!I186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40"/>
        <v>25968112.98</v>
      </c>
      <c r="E77" s="2">
        <f>'гос.задание на 2024-2025 год '!E187</f>
        <v>25968112.98</v>
      </c>
      <c r="F77" s="2">
        <f>'гос.задание на 2024-2025 год '!F187</f>
        <v>0</v>
      </c>
      <c r="G77" s="5">
        <f t="shared" si="41"/>
        <v>26347822.98</v>
      </c>
      <c r="H77" s="2">
        <f>'гос.задание на 2024-2025 год '!H187</f>
        <v>26347822.98</v>
      </c>
      <c r="I77" s="2">
        <f>'гос.задание на 2024-2025 год '!I187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40"/>
        <v>6836281.71</v>
      </c>
      <c r="E78" s="2">
        <f>'гос.задание на 2024-2025 год '!E188</f>
        <v>6836281.71</v>
      </c>
      <c r="F78" s="2">
        <f>'гос.задание на 2024-2025 год '!F188</f>
        <v>0</v>
      </c>
      <c r="G78" s="5">
        <f t="shared" si="41"/>
        <v>6836281.71</v>
      </c>
      <c r="H78" s="2">
        <f>'гос.задание на 2024-2025 год '!H188</f>
        <v>6836281.71</v>
      </c>
      <c r="I78" s="2">
        <f>'гос.задание на 2024-2025 год '!I188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40"/>
        <v>619677.14</v>
      </c>
      <c r="E79" s="2">
        <f>'гос.задание на 2024-2025 год '!E189</f>
        <v>619677.14</v>
      </c>
      <c r="F79" s="2">
        <f>'гос.задание на 2024-2025 год '!F189</f>
        <v>0</v>
      </c>
      <c r="G79" s="5">
        <f t="shared" si="41"/>
        <v>619677.14</v>
      </c>
      <c r="H79" s="2">
        <f>'гос.задание на 2024-2025 год '!H189</f>
        <v>619677.14</v>
      </c>
      <c r="I79" s="2">
        <f>'гос.задание на 2024-2025 год '!I189</f>
        <v>0</v>
      </c>
    </row>
    <row r="80" spans="1:9" ht="56.25" x14ac:dyDescent="0.25">
      <c r="A80" s="194" t="s">
        <v>436</v>
      </c>
      <c r="B80" s="195">
        <v>244</v>
      </c>
      <c r="C80" s="195">
        <v>223</v>
      </c>
      <c r="D80" s="5">
        <f t="shared" ref="D80" si="46">E80+F80</f>
        <v>0</v>
      </c>
      <c r="E80" s="2">
        <f>'гос.задание на 2024-2025 год '!E190</f>
        <v>0</v>
      </c>
      <c r="F80" s="2">
        <f>'гос.задание на 2024-2025 год '!F190</f>
        <v>0</v>
      </c>
      <c r="G80" s="5">
        <f t="shared" ref="G80" si="47">H80+I80</f>
        <v>0</v>
      </c>
      <c r="H80" s="2">
        <f>'гос.задание на 2024-2025 год '!H190</f>
        <v>0</v>
      </c>
      <c r="I80" s="2">
        <f>'гос.задание на 2024-2025 год '!I190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40"/>
        <v>0</v>
      </c>
      <c r="E81" s="2">
        <f>'гос.задание на 2024-2025 год '!E191</f>
        <v>0</v>
      </c>
      <c r="F81" s="2">
        <f>'гос.задание на 2024-2025 год '!F191</f>
        <v>0</v>
      </c>
      <c r="G81" s="5">
        <f t="shared" si="41"/>
        <v>0</v>
      </c>
      <c r="H81" s="2">
        <f>'гос.задание на 2024-2025 год '!H191</f>
        <v>0</v>
      </c>
      <c r="I81" s="2">
        <f>'гос.задание на 2024-2025 год '!I191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8">D83+D84</f>
        <v>29486521.829999998</v>
      </c>
      <c r="E82" s="2">
        <f>E83+E84</f>
        <v>29486521.829999998</v>
      </c>
      <c r="F82" s="2">
        <f t="shared" ref="F82:G82" si="49">F83+F84</f>
        <v>0</v>
      </c>
      <c r="G82" s="2">
        <f t="shared" si="49"/>
        <v>30287001.129999999</v>
      </c>
      <c r="H82" s="2">
        <f>H83+H84</f>
        <v>30287001.129999999</v>
      </c>
      <c r="I82" s="2">
        <f t="shared" ref="I82" si="50">I83+I84</f>
        <v>0</v>
      </c>
    </row>
    <row r="83" spans="1:9" ht="18.75" x14ac:dyDescent="0.25">
      <c r="A83" s="224" t="s">
        <v>6</v>
      </c>
      <c r="B83" s="119">
        <v>243</v>
      </c>
      <c r="C83" s="119">
        <v>225</v>
      </c>
      <c r="D83" s="5">
        <f t="shared" ref="D83:D94" si="51">E83+F83</f>
        <v>0</v>
      </c>
      <c r="E83" s="2">
        <f>'гос.задание на 2024-2025 год '!E193</f>
        <v>0</v>
      </c>
      <c r="F83" s="2">
        <f>'гос.задание на 2024-2025 год '!F193</f>
        <v>0</v>
      </c>
      <c r="G83" s="5">
        <f t="shared" ref="G83:G94" si="52">H83+I83</f>
        <v>0</v>
      </c>
      <c r="H83" s="2">
        <f>'гос.задание на 2024-2025 год '!H193</f>
        <v>0</v>
      </c>
      <c r="I83" s="2">
        <f>'гос.задание на 2024-2025 год '!I193</f>
        <v>0</v>
      </c>
    </row>
    <row r="84" spans="1:9" ht="18.75" x14ac:dyDescent="0.25">
      <c r="A84" s="224"/>
      <c r="B84" s="119">
        <v>244</v>
      </c>
      <c r="C84" s="119">
        <v>225</v>
      </c>
      <c r="D84" s="5">
        <f t="shared" si="51"/>
        <v>29486521.829999998</v>
      </c>
      <c r="E84" s="2">
        <f>'гос.задание на 2024-2025 год '!E194</f>
        <v>29486521.829999998</v>
      </c>
      <c r="F84" s="2">
        <f>'гос.задание на 2024-2025 год '!F194</f>
        <v>0</v>
      </c>
      <c r="G84" s="5">
        <f t="shared" si="52"/>
        <v>30287001.129999999</v>
      </c>
      <c r="H84" s="2">
        <f>'гос.задание на 2024-2025 год '!H194</f>
        <v>30287001.129999999</v>
      </c>
      <c r="I84" s="2">
        <f>'гос.задание на 2024-2025 год '!I194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1"/>
        <v>6133602.9199999999</v>
      </c>
      <c r="E85" s="2">
        <f>E86+E87</f>
        <v>6133602.9199999999</v>
      </c>
      <c r="F85" s="2">
        <f>F86+F87</f>
        <v>0</v>
      </c>
      <c r="G85" s="5">
        <f t="shared" si="52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24" t="s">
        <v>6</v>
      </c>
      <c r="B86" s="119">
        <v>243</v>
      </c>
      <c r="C86" s="119">
        <v>226</v>
      </c>
      <c r="D86" s="5">
        <f t="shared" si="51"/>
        <v>0</v>
      </c>
      <c r="E86" s="2">
        <f>'гос.задание на 2024-2025 год '!E196</f>
        <v>0</v>
      </c>
      <c r="F86" s="2">
        <f>'гос.задание на 2024-2025 год '!F196</f>
        <v>0</v>
      </c>
      <c r="G86" s="5">
        <f t="shared" si="52"/>
        <v>0</v>
      </c>
      <c r="H86" s="2">
        <f>'гос.задание на 2024-2025 год '!H196</f>
        <v>0</v>
      </c>
      <c r="I86" s="2">
        <f>'гос.задание на 2024-2025 год '!I196</f>
        <v>0</v>
      </c>
    </row>
    <row r="87" spans="1:9" ht="18.75" x14ac:dyDescent="0.25">
      <c r="A87" s="224"/>
      <c r="B87" s="119">
        <v>244</v>
      </c>
      <c r="C87" s="119">
        <v>226</v>
      </c>
      <c r="D87" s="5">
        <f t="shared" si="51"/>
        <v>6133602.9199999999</v>
      </c>
      <c r="E87" s="2">
        <f>'гос.задание на 2024-2025 год '!E197</f>
        <v>6133602.9199999999</v>
      </c>
      <c r="F87" s="2">
        <f>'гос.задание на 2024-2025 год '!F197</f>
        <v>0</v>
      </c>
      <c r="G87" s="5">
        <f t="shared" si="52"/>
        <v>6825454.4400000004</v>
      </c>
      <c r="H87" s="2">
        <f>'гос.задание на 2024-2025 год '!H197</f>
        <v>6825454.4400000004</v>
      </c>
      <c r="I87" s="2">
        <f>'гос.задание на 2024-2025 год '!I197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1"/>
        <v>5067.62</v>
      </c>
      <c r="E88" s="2">
        <f>'гос.задание на 2024-2025 год '!E198</f>
        <v>5067.62</v>
      </c>
      <c r="F88" s="2">
        <f>'гос.задание на 2024-2025 год '!F198</f>
        <v>0</v>
      </c>
      <c r="G88" s="5">
        <f t="shared" si="52"/>
        <v>5067.62</v>
      </c>
      <c r="H88" s="2">
        <f>'гос.задание на 2024-2025 год '!H198</f>
        <v>5067.62</v>
      </c>
      <c r="I88" s="2">
        <f>'гос.задание на 2024-2025 год '!I198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'!E199</f>
        <v>0</v>
      </c>
      <c r="F89" s="2">
        <f>'гос.задание на 2024-2025 год '!F199</f>
        <v>0</v>
      </c>
      <c r="G89" s="5">
        <f t="shared" ref="G89" si="53">H89+I89</f>
        <v>0</v>
      </c>
      <c r="H89" s="2">
        <f>'гос.задание на 2024-2025 год '!H199</f>
        <v>0</v>
      </c>
      <c r="I89" s="2">
        <f>'гос.задание на 2024-2025 год '!I199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1"/>
        <v>0</v>
      </c>
      <c r="E90" s="2">
        <f>E92+E93</f>
        <v>0</v>
      </c>
      <c r="F90" s="2">
        <f>F92+F93</f>
        <v>0</v>
      </c>
      <c r="G90" s="5">
        <f t="shared" si="52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1"/>
        <v>0</v>
      </c>
      <c r="E91" s="2"/>
      <c r="F91" s="2"/>
      <c r="G91" s="5">
        <f t="shared" si="52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1"/>
        <v>0</v>
      </c>
      <c r="E92" s="2">
        <f>'гос.задание на 2024-2025 год '!E202</f>
        <v>0</v>
      </c>
      <c r="F92" s="2">
        <f>'гос.задание на 2024-2025 год '!F202</f>
        <v>0</v>
      </c>
      <c r="G92" s="5">
        <f t="shared" si="52"/>
        <v>0</v>
      </c>
      <c r="H92" s="2">
        <f>'гос.задание на 2024-2025 год '!H202</f>
        <v>0</v>
      </c>
      <c r="I92" s="2">
        <f>'гос.задание на 2024-2025 год '!I202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1"/>
        <v>0</v>
      </c>
      <c r="E93" s="2">
        <f>'гос.задание на 2024-2025 год '!E203</f>
        <v>0</v>
      </c>
      <c r="F93" s="2">
        <f>'гос.задание на 2024-2025 год '!F203</f>
        <v>0</v>
      </c>
      <c r="G93" s="5">
        <f t="shared" si="52"/>
        <v>0</v>
      </c>
      <c r="H93" s="2">
        <f>'гос.задание на 2024-2025 год '!H203</f>
        <v>0</v>
      </c>
      <c r="I93" s="2">
        <f>'гос.задание на 2024-2025 год '!I203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1"/>
        <v>9401903.6199999992</v>
      </c>
      <c r="E94" s="2">
        <f>E96+E98+E97</f>
        <v>9401903.6199999992</v>
      </c>
      <c r="F94" s="2">
        <f>F96+F98+F97</f>
        <v>0</v>
      </c>
      <c r="G94" s="5">
        <f t="shared" si="52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4">E96+F96</f>
        <v>0</v>
      </c>
      <c r="E96" s="2">
        <f>'гос.задание на 2024-2025 год '!E206</f>
        <v>0</v>
      </c>
      <c r="F96" s="2">
        <f>'гос.задание на 2024-2025 год '!F206</f>
        <v>0</v>
      </c>
      <c r="G96" s="5">
        <f t="shared" ref="G96:G98" si="55">H96+I96</f>
        <v>0</v>
      </c>
      <c r="H96" s="2">
        <f>'гос.задание на 2024-2025 год '!H206</f>
        <v>0</v>
      </c>
      <c r="I96" s="2">
        <f>'гос.задание на 2024-2025 год '!I206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4"/>
        <v>0</v>
      </c>
      <c r="E97" s="2">
        <f>'гос.задание на 2024-2025 год '!E207</f>
        <v>0</v>
      </c>
      <c r="F97" s="2">
        <f>'гос.задание на 2024-2025 год '!F207</f>
        <v>0</v>
      </c>
      <c r="G97" s="5">
        <f t="shared" si="55"/>
        <v>0</v>
      </c>
      <c r="H97" s="2">
        <f>'гос.задание на 2024-2025 год '!H207</f>
        <v>0</v>
      </c>
      <c r="I97" s="2">
        <f>'гос.задание на 2024-2025 год '!I207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4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5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6">E100+F100</f>
        <v>0</v>
      </c>
      <c r="E100" s="2">
        <f>'гос.задание на 2024-2025 год '!E210</f>
        <v>0</v>
      </c>
      <c r="F100" s="2">
        <f>'гос.задание на 2024-2025 год '!F210</f>
        <v>0</v>
      </c>
      <c r="G100" s="5">
        <f t="shared" ref="G100:G107" si="57">H100+I100</f>
        <v>0</v>
      </c>
      <c r="H100" s="2">
        <f>'гос.задание на 2024-2025 год '!H210</f>
        <v>0</v>
      </c>
      <c r="I100" s="2">
        <f>'гос.задание на 2024-2025 год '!I210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6"/>
        <v>0</v>
      </c>
      <c r="E101" s="2">
        <f>'гос.задание на 2024-2025 год '!E211</f>
        <v>0</v>
      </c>
      <c r="F101" s="2">
        <f>'гос.задание на 2024-2025 год '!F211</f>
        <v>0</v>
      </c>
      <c r="G101" s="5">
        <f t="shared" si="57"/>
        <v>0</v>
      </c>
      <c r="H101" s="2">
        <f>'гос.задание на 2024-2025 год '!H211</f>
        <v>0</v>
      </c>
      <c r="I101" s="2">
        <f>'гос.задание на 2024-2025 год '!I211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6"/>
        <v>290000</v>
      </c>
      <c r="E102" s="2">
        <f>'гос.задание на 2024-2025 год '!E212</f>
        <v>290000</v>
      </c>
      <c r="F102" s="2">
        <f>'гос.задание на 2024-2025 год '!F212</f>
        <v>0</v>
      </c>
      <c r="G102" s="5">
        <f t="shared" si="57"/>
        <v>290000</v>
      </c>
      <c r="H102" s="2">
        <f>'гос.задание на 2024-2025 год '!H212</f>
        <v>290000</v>
      </c>
      <c r="I102" s="2">
        <f>'гос.задание на 2024-2025 год '!I212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6"/>
        <v>200000</v>
      </c>
      <c r="E103" s="2">
        <f>'гос.задание на 2024-2025 год '!E213</f>
        <v>200000</v>
      </c>
      <c r="F103" s="2">
        <f>'гос.задание на 2024-2025 год '!F213</f>
        <v>0</v>
      </c>
      <c r="G103" s="5">
        <f t="shared" si="57"/>
        <v>200000</v>
      </c>
      <c r="H103" s="2">
        <f>'гос.задание на 2024-2025 год '!H213</f>
        <v>200000</v>
      </c>
      <c r="I103" s="2">
        <f>'гос.задание на 2024-2025 год '!I213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6"/>
        <v>334245</v>
      </c>
      <c r="E104" s="2">
        <f>'гос.задание на 2024-2025 год '!E214</f>
        <v>334245</v>
      </c>
      <c r="F104" s="2">
        <f>'гос.задание на 2024-2025 год '!F214</f>
        <v>0</v>
      </c>
      <c r="G104" s="5">
        <f t="shared" si="57"/>
        <v>334245</v>
      </c>
      <c r="H104" s="2">
        <f>'гос.задание на 2024-2025 год '!H214</f>
        <v>334245</v>
      </c>
      <c r="I104" s="2">
        <f>'гос.задание на 2024-2025 год '!I214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6"/>
        <v>8428958.6199999992</v>
      </c>
      <c r="E105" s="2">
        <f>'гос.задание на 2024-2025 год '!E215</f>
        <v>8428958.6199999992</v>
      </c>
      <c r="F105" s="2">
        <f>'гос.задание на 2024-2025 год '!F215</f>
        <v>0</v>
      </c>
      <c r="G105" s="5">
        <f t="shared" si="57"/>
        <v>8428958.6199999992</v>
      </c>
      <c r="H105" s="2">
        <f>'гос.задание на 2024-2025 год '!H215</f>
        <v>8428958.6199999992</v>
      </c>
      <c r="I105" s="2">
        <f>'гос.задание на 2024-2025 год '!I215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8">E106+F106</f>
        <v>0</v>
      </c>
      <c r="E106" s="2">
        <f>'гос.задание на 2024-2025 год '!E216</f>
        <v>0</v>
      </c>
      <c r="F106" s="2">
        <f>'гос.задание на 2024-2025 год '!F216</f>
        <v>0</v>
      </c>
      <c r="G106" s="5">
        <f t="shared" ref="G106" si="59">H106+I106</f>
        <v>0</v>
      </c>
      <c r="H106" s="2">
        <f>'гос.задание на 2024-2025 год '!H216</f>
        <v>0</v>
      </c>
      <c r="I106" s="2">
        <f>'гос.задание на 2024-2025 год '!I216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6"/>
        <v>148700</v>
      </c>
      <c r="E107" s="2">
        <f>'гос.задание на 2024-2025 год '!E217</f>
        <v>148700</v>
      </c>
      <c r="F107" s="2">
        <f>'гос.задание на 2024-2025 год '!F217</f>
        <v>0</v>
      </c>
      <c r="G107" s="34">
        <f t="shared" si="57"/>
        <v>148700</v>
      </c>
      <c r="H107" s="2">
        <f>'гос.задание на 2024-2025 год '!H217</f>
        <v>148700</v>
      </c>
      <c r="I107" s="2">
        <f>'гос.задание на 2024-2025 год '!I217</f>
        <v>0</v>
      </c>
    </row>
    <row r="110" spans="1:9" ht="37.5" x14ac:dyDescent="0.3">
      <c r="A110" s="29" t="s">
        <v>52</v>
      </c>
      <c r="B110" s="227"/>
      <c r="C110" s="227"/>
      <c r="D110" s="10"/>
      <c r="E110" s="227" t="s">
        <v>478</v>
      </c>
      <c r="F110" s="227"/>
    </row>
    <row r="111" spans="1:9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7"/>
      <c r="C113" s="227"/>
      <c r="D113" s="10"/>
      <c r="E113" s="227" t="s">
        <v>482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7"/>
      <c r="C116" s="227"/>
      <c r="D116" s="10"/>
      <c r="E116" s="227" t="s">
        <v>482</v>
      </c>
      <c r="F116" s="227"/>
    </row>
    <row r="117" spans="1:6" ht="18.75" x14ac:dyDescent="0.3">
      <c r="A117" s="29"/>
      <c r="B117" s="226" t="s">
        <v>53</v>
      </c>
      <c r="C117" s="226"/>
      <c r="D117" s="10"/>
      <c r="E117" s="226" t="s">
        <v>54</v>
      </c>
      <c r="F117" s="226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5" t="s">
        <v>44</v>
      </c>
      <c r="B119" s="225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2" firstPageNumber="12" orientation="landscape" useFirstPageNumber="1" r:id="rId1"/>
  <rowBreaks count="5" manualBreakCount="5">
    <brk id="30" max="8" man="1"/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10" zoomScaleNormal="85" zoomScaleSheetLayoutView="100" workbookViewId="0">
      <selection activeCell="E16" sqref="E16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3"/>
      <c r="F1" s="323"/>
      <c r="G1" s="323"/>
    </row>
    <row r="2" spans="1:11" ht="40.15" customHeight="1" x14ac:dyDescent="0.25">
      <c r="A2" s="295" t="s">
        <v>459</v>
      </c>
      <c r="B2" s="295"/>
      <c r="C2" s="295"/>
      <c r="D2" s="295"/>
      <c r="E2" s="295"/>
      <c r="F2" s="295"/>
      <c r="G2" s="29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5" t="s">
        <v>391</v>
      </c>
      <c r="B4" s="295"/>
      <c r="C4" s="295"/>
      <c r="D4" s="295"/>
      <c r="E4" s="295"/>
      <c r="F4" s="295"/>
      <c r="G4" s="295"/>
    </row>
    <row r="5" spans="1:11" ht="43.9" customHeight="1" x14ac:dyDescent="0.25">
      <c r="A5" s="295" t="s">
        <v>174</v>
      </c>
      <c r="B5" s="295"/>
      <c r="C5" s="295"/>
      <c r="D5" s="295"/>
      <c r="E5" s="295"/>
      <c r="F5" s="295"/>
      <c r="G5" s="295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81" t="s">
        <v>172</v>
      </c>
      <c r="C9" s="281"/>
      <c r="D9" s="281" t="s">
        <v>173</v>
      </c>
      <c r="E9" s="281"/>
      <c r="F9" s="281" t="s">
        <v>171</v>
      </c>
      <c r="G9" s="281"/>
      <c r="K9" s="81"/>
    </row>
    <row r="10" spans="1:11" ht="18.75" x14ac:dyDescent="0.25">
      <c r="A10" s="106">
        <v>1</v>
      </c>
      <c r="B10" s="281">
        <v>2</v>
      </c>
      <c r="C10" s="281"/>
      <c r="D10" s="281">
        <v>3</v>
      </c>
      <c r="E10" s="281"/>
      <c r="F10" s="281">
        <v>4</v>
      </c>
      <c r="G10" s="281"/>
    </row>
    <row r="11" spans="1:11" ht="56.25" x14ac:dyDescent="0.25">
      <c r="A11" s="13" t="s">
        <v>170</v>
      </c>
      <c r="B11" s="281" t="s">
        <v>117</v>
      </c>
      <c r="C11" s="281"/>
      <c r="D11" s="281" t="s">
        <v>117</v>
      </c>
      <c r="E11" s="281"/>
      <c r="F11" s="287">
        <f>'гос.задание на 2024-2025 год '!E12</f>
        <v>166149847.15000001</v>
      </c>
      <c r="G11" s="287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95" t="s">
        <v>392</v>
      </c>
      <c r="B13" s="295"/>
      <c r="C13" s="295"/>
      <c r="D13" s="295"/>
      <c r="E13" s="295"/>
      <c r="F13" s="295"/>
      <c r="G13" s="295"/>
    </row>
    <row r="14" spans="1:11" ht="18.75" x14ac:dyDescent="0.25">
      <c r="A14" s="8"/>
    </row>
    <row r="15" spans="1:11" ht="18.75" x14ac:dyDescent="0.25">
      <c r="A15" s="280" t="s">
        <v>189</v>
      </c>
      <c r="B15" s="280"/>
      <c r="C15" s="280"/>
      <c r="D15" s="280"/>
      <c r="E15" s="280"/>
      <c r="F15" s="280"/>
      <c r="G15" s="280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81" t="s">
        <v>76</v>
      </c>
      <c r="B19" s="281" t="s">
        <v>77</v>
      </c>
      <c r="C19" s="281" t="s">
        <v>78</v>
      </c>
      <c r="D19" s="281"/>
      <c r="E19" s="281"/>
      <c r="F19" s="281"/>
      <c r="G19" s="281" t="s">
        <v>79</v>
      </c>
    </row>
    <row r="20" spans="1:7" ht="18.75" x14ac:dyDescent="0.25">
      <c r="A20" s="281"/>
      <c r="B20" s="281"/>
      <c r="C20" s="281" t="s">
        <v>80</v>
      </c>
      <c r="D20" s="281" t="s">
        <v>6</v>
      </c>
      <c r="E20" s="281"/>
      <c r="F20" s="281"/>
      <c r="G20" s="281"/>
    </row>
    <row r="21" spans="1:7" ht="75" x14ac:dyDescent="0.25">
      <c r="A21" s="281"/>
      <c r="B21" s="281"/>
      <c r="C21" s="281"/>
      <c r="D21" s="12" t="s">
        <v>81</v>
      </c>
      <c r="E21" s="12" t="s">
        <v>82</v>
      </c>
      <c r="F21" s="12" t="s">
        <v>83</v>
      </c>
      <c r="G21" s="281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9" t="s">
        <v>354</v>
      </c>
      <c r="B32" s="300"/>
      <c r="C32" s="300"/>
      <c r="D32" s="300"/>
      <c r="E32" s="300"/>
      <c r="F32" s="300"/>
      <c r="G32" s="301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74" t="s">
        <v>312</v>
      </c>
      <c r="B39" s="275"/>
      <c r="C39" s="275"/>
      <c r="D39" s="275"/>
      <c r="E39" s="275"/>
      <c r="F39" s="275"/>
      <c r="G39" s="27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4" t="s">
        <v>314</v>
      </c>
      <c r="B43" s="275"/>
      <c r="C43" s="275"/>
      <c r="D43" s="275"/>
      <c r="E43" s="275"/>
      <c r="F43" s="275"/>
      <c r="G43" s="27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77" t="s">
        <v>317</v>
      </c>
      <c r="B48" s="278"/>
      <c r="C48" s="278"/>
      <c r="D48" s="278"/>
      <c r="E48" s="278"/>
      <c r="F48" s="278"/>
      <c r="G48" s="279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74" t="s">
        <v>322</v>
      </c>
      <c r="B57" s="275"/>
      <c r="C57" s="275"/>
      <c r="D57" s="275"/>
      <c r="E57" s="275"/>
      <c r="F57" s="275"/>
      <c r="G57" s="27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6" t="s">
        <v>325</v>
      </c>
      <c r="B61" s="297"/>
      <c r="C61" s="297"/>
      <c r="D61" s="297"/>
      <c r="E61" s="297"/>
      <c r="F61" s="297"/>
      <c r="G61" s="298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2" t="s">
        <v>350</v>
      </c>
      <c r="B72" s="303"/>
      <c r="C72" s="303"/>
      <c r="D72" s="303"/>
      <c r="E72" s="303"/>
      <c r="F72" s="303"/>
      <c r="G72" s="304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74" t="s">
        <v>314</v>
      </c>
      <c r="B81" s="275"/>
      <c r="C81" s="275"/>
      <c r="D81" s="275"/>
      <c r="E81" s="275"/>
      <c r="F81" s="275"/>
      <c r="G81" s="276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77" t="s">
        <v>317</v>
      </c>
      <c r="B87" s="278"/>
      <c r="C87" s="278"/>
      <c r="D87" s="278"/>
      <c r="E87" s="278"/>
      <c r="F87" s="278"/>
      <c r="G87" s="279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74" t="s">
        <v>322</v>
      </c>
      <c r="B99" s="275"/>
      <c r="C99" s="275"/>
      <c r="D99" s="275"/>
      <c r="E99" s="275"/>
      <c r="F99" s="275"/>
      <c r="G99" s="276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6" t="s">
        <v>325</v>
      </c>
      <c r="B104" s="297"/>
      <c r="C104" s="297"/>
      <c r="D104" s="297"/>
      <c r="E104" s="297"/>
      <c r="F104" s="297"/>
      <c r="G104" s="298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38" t="s">
        <v>84</v>
      </c>
      <c r="B116" s="312" t="s">
        <v>244</v>
      </c>
      <c r="C116" s="313"/>
      <c r="D116" s="312" t="s">
        <v>185</v>
      </c>
      <c r="E116" s="313"/>
      <c r="F116" s="312" t="s">
        <v>85</v>
      </c>
      <c r="G116" s="313"/>
    </row>
    <row r="117" spans="1:7" ht="36.75" customHeight="1" x14ac:dyDescent="0.25">
      <c r="A117" s="339"/>
      <c r="B117" s="314"/>
      <c r="C117" s="315"/>
      <c r="D117" s="314"/>
      <c r="E117" s="315"/>
      <c r="F117" s="314"/>
      <c r="G117" s="315"/>
    </row>
    <row r="118" spans="1:7" ht="18.75" x14ac:dyDescent="0.25">
      <c r="A118" s="187">
        <v>1</v>
      </c>
      <c r="B118" s="263">
        <v>2</v>
      </c>
      <c r="C118" s="264"/>
      <c r="D118" s="263">
        <v>3</v>
      </c>
      <c r="E118" s="264"/>
      <c r="F118" s="263">
        <v>4</v>
      </c>
      <c r="G118" s="264"/>
    </row>
    <row r="119" spans="1:7" ht="18.75" x14ac:dyDescent="0.25">
      <c r="A119" s="13">
        <v>131</v>
      </c>
      <c r="B119" s="261">
        <f>'гос.задание на 2024-2025 год '!D26+'гос.задание на 2024-2025 год '!D28+'гос.задание на 2024-2025 год '!D68</f>
        <v>62755100.890000001</v>
      </c>
      <c r="C119" s="262"/>
      <c r="D119" s="261">
        <f>'гос.задание на 2024-2025 год '!E26+'гос.задание на 2024-2025 год '!E68</f>
        <v>48210596.490000002</v>
      </c>
      <c r="E119" s="262"/>
      <c r="F119" s="261">
        <f>B119-D119</f>
        <v>14544504.399999999</v>
      </c>
      <c r="G119" s="262"/>
    </row>
    <row r="120" spans="1:7" ht="18.75" x14ac:dyDescent="0.25">
      <c r="A120" s="8"/>
    </row>
    <row r="121" spans="1:7" ht="43.5" customHeight="1" x14ac:dyDescent="0.25">
      <c r="A121" s="288" t="s">
        <v>203</v>
      </c>
      <c r="B121" s="288"/>
      <c r="C121" s="288"/>
      <c r="D121" s="288"/>
      <c r="E121" s="288"/>
      <c r="F121" s="288"/>
      <c r="G121" s="288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63" t="s">
        <v>88</v>
      </c>
      <c r="D125" s="264"/>
      <c r="E125" s="187" t="s">
        <v>89</v>
      </c>
      <c r="F125" s="263" t="s">
        <v>90</v>
      </c>
      <c r="G125" s="264"/>
    </row>
    <row r="126" spans="1:7" ht="18.75" x14ac:dyDescent="0.25">
      <c r="A126" s="187">
        <v>1</v>
      </c>
      <c r="B126" s="187">
        <v>2</v>
      </c>
      <c r="C126" s="263">
        <v>3</v>
      </c>
      <c r="D126" s="264"/>
      <c r="E126" s="187">
        <v>4</v>
      </c>
      <c r="F126" s="263">
        <v>5</v>
      </c>
      <c r="G126" s="264"/>
    </row>
    <row r="127" spans="1:7" ht="18.75" x14ac:dyDescent="0.25">
      <c r="A127" s="13" t="s">
        <v>91</v>
      </c>
      <c r="B127" s="187">
        <v>10</v>
      </c>
      <c r="C127" s="261">
        <v>100</v>
      </c>
      <c r="D127" s="262"/>
      <c r="E127" s="187">
        <v>8</v>
      </c>
      <c r="F127" s="261">
        <f>'гос.задание на 2024-2025 год '!D27</f>
        <v>8000</v>
      </c>
      <c r="G127" s="262"/>
    </row>
    <row r="128" spans="1:7" ht="18.75" x14ac:dyDescent="0.25">
      <c r="A128" s="8"/>
    </row>
    <row r="129" spans="1:7" ht="45" customHeight="1" x14ac:dyDescent="0.25">
      <c r="A129" s="288" t="s">
        <v>207</v>
      </c>
      <c r="B129" s="288"/>
      <c r="C129" s="288"/>
      <c r="D129" s="288"/>
      <c r="E129" s="288"/>
      <c r="F129" s="288"/>
      <c r="G129" s="288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81" t="s">
        <v>99</v>
      </c>
      <c r="C133" s="281"/>
      <c r="D133" s="281" t="s">
        <v>100</v>
      </c>
      <c r="E133" s="281"/>
      <c r="F133" s="281" t="s">
        <v>101</v>
      </c>
      <c r="G133" s="281"/>
    </row>
    <row r="134" spans="1:7" ht="18.75" x14ac:dyDescent="0.3">
      <c r="A134" s="106">
        <v>1</v>
      </c>
      <c r="B134" s="263">
        <v>2</v>
      </c>
      <c r="C134" s="264"/>
      <c r="D134" s="263">
        <v>3</v>
      </c>
      <c r="E134" s="264"/>
      <c r="F134" s="254">
        <v>4</v>
      </c>
      <c r="G134" s="255"/>
    </row>
    <row r="135" spans="1:7" ht="56.25" x14ac:dyDescent="0.25">
      <c r="A135" s="13" t="s">
        <v>102</v>
      </c>
      <c r="B135" s="263">
        <v>24</v>
      </c>
      <c r="C135" s="264"/>
      <c r="D135" s="263">
        <v>2083.33</v>
      </c>
      <c r="E135" s="264"/>
      <c r="F135" s="305">
        <f>'гос.задание на 2024-2025 год '!D68</f>
        <v>49999.92</v>
      </c>
      <c r="G135" s="306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8" t="s">
        <v>226</v>
      </c>
      <c r="B137" s="288"/>
      <c r="C137" s="288"/>
      <c r="D137" s="288"/>
      <c r="E137" s="288"/>
      <c r="F137" s="288"/>
      <c r="G137" s="288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3" t="s">
        <v>109</v>
      </c>
      <c r="C140" s="264"/>
      <c r="D140" s="263" t="s">
        <v>110</v>
      </c>
      <c r="E140" s="264"/>
      <c r="F140" s="263" t="s">
        <v>111</v>
      </c>
      <c r="G140" s="264"/>
    </row>
    <row r="141" spans="1:7" ht="18" customHeight="1" x14ac:dyDescent="0.25">
      <c r="A141" s="216">
        <v>1</v>
      </c>
      <c r="B141" s="263">
        <v>2</v>
      </c>
      <c r="C141" s="264"/>
      <c r="D141" s="293">
        <v>3</v>
      </c>
      <c r="E141" s="294"/>
      <c r="F141" s="293">
        <v>4</v>
      </c>
      <c r="G141" s="294"/>
    </row>
    <row r="142" spans="1:7" ht="18.75" x14ac:dyDescent="0.25">
      <c r="A142" s="13" t="s">
        <v>112</v>
      </c>
      <c r="B142" s="261">
        <v>328603772</v>
      </c>
      <c r="C142" s="262"/>
      <c r="D142" s="261">
        <v>2.2000000000000002</v>
      </c>
      <c r="E142" s="262"/>
      <c r="F142" s="283">
        <f>'гос.задание на 2024-2025 год '!D75</f>
        <v>16863243.380000003</v>
      </c>
      <c r="G142" s="284"/>
    </row>
    <row r="143" spans="1:7" ht="18.75" x14ac:dyDescent="0.25">
      <c r="A143" s="13" t="s">
        <v>113</v>
      </c>
      <c r="B143" s="261">
        <v>642264025</v>
      </c>
      <c r="C143" s="262"/>
      <c r="D143" s="261">
        <v>1.5</v>
      </c>
      <c r="E143" s="262"/>
      <c r="F143" s="285"/>
      <c r="G143" s="286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81" t="s">
        <v>109</v>
      </c>
      <c r="C147" s="281"/>
      <c r="D147" s="281" t="s">
        <v>110</v>
      </c>
      <c r="E147" s="281"/>
      <c r="F147" s="281" t="s">
        <v>115</v>
      </c>
      <c r="G147" s="281"/>
    </row>
    <row r="148" spans="1:7" ht="18" customHeight="1" x14ac:dyDescent="0.3">
      <c r="A148" s="106">
        <v>1</v>
      </c>
      <c r="B148" s="263">
        <v>2</v>
      </c>
      <c r="C148" s="264"/>
      <c r="D148" s="263">
        <v>3</v>
      </c>
      <c r="E148" s="264"/>
      <c r="F148" s="254">
        <v>4</v>
      </c>
      <c r="G148" s="255"/>
    </row>
    <row r="149" spans="1:7" ht="18.75" x14ac:dyDescent="0.25">
      <c r="A149" s="13" t="s">
        <v>116</v>
      </c>
      <c r="B149" s="263" t="s">
        <v>117</v>
      </c>
      <c r="C149" s="264"/>
      <c r="D149" s="263" t="s">
        <v>117</v>
      </c>
      <c r="E149" s="264"/>
      <c r="F149" s="305">
        <f>'гос.задание на 2024-2025 год '!D76</f>
        <v>51650</v>
      </c>
      <c r="G149" s="307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81" t="s">
        <v>109</v>
      </c>
      <c r="C153" s="281"/>
      <c r="D153" s="281" t="s">
        <v>110</v>
      </c>
      <c r="E153" s="281"/>
      <c r="F153" s="281" t="s">
        <v>115</v>
      </c>
      <c r="G153" s="281"/>
    </row>
    <row r="154" spans="1:7" ht="18.75" x14ac:dyDescent="0.3">
      <c r="A154" s="106">
        <v>1</v>
      </c>
      <c r="B154" s="263">
        <v>2</v>
      </c>
      <c r="C154" s="264"/>
      <c r="D154" s="263">
        <v>3</v>
      </c>
      <c r="E154" s="264"/>
      <c r="F154" s="254">
        <v>4</v>
      </c>
      <c r="G154" s="255"/>
    </row>
    <row r="155" spans="1:7" ht="37.5" x14ac:dyDescent="0.25">
      <c r="A155" s="13" t="s">
        <v>155</v>
      </c>
      <c r="B155" s="263" t="s">
        <v>117</v>
      </c>
      <c r="C155" s="264"/>
      <c r="D155" s="263" t="s">
        <v>117</v>
      </c>
      <c r="E155" s="264"/>
      <c r="F155" s="305">
        <f>'гос.задание на 2024-2025 год '!D77</f>
        <v>0</v>
      </c>
      <c r="G155" s="306"/>
    </row>
    <row r="156" spans="1:7" ht="18.75" x14ac:dyDescent="0.25">
      <c r="A156" s="8"/>
    </row>
    <row r="157" spans="1:7" ht="18.75" x14ac:dyDescent="0.25">
      <c r="A157" s="280" t="s">
        <v>216</v>
      </c>
      <c r="B157" s="280"/>
      <c r="C157" s="280"/>
      <c r="D157" s="280"/>
      <c r="E157" s="280"/>
      <c r="F157" s="280"/>
      <c r="G157" s="280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81" t="s">
        <v>121</v>
      </c>
      <c r="C161" s="281"/>
      <c r="D161" s="281" t="s">
        <v>122</v>
      </c>
      <c r="E161" s="281"/>
      <c r="F161" s="281" t="s">
        <v>186</v>
      </c>
      <c r="G161" s="281"/>
    </row>
    <row r="162" spans="1:7" ht="18.75" x14ac:dyDescent="0.25">
      <c r="A162" s="169">
        <v>1</v>
      </c>
      <c r="B162" s="263">
        <v>2</v>
      </c>
      <c r="C162" s="264"/>
      <c r="D162" s="263">
        <v>3</v>
      </c>
      <c r="E162" s="264"/>
      <c r="F162" s="293">
        <v>4</v>
      </c>
      <c r="G162" s="294"/>
    </row>
    <row r="163" spans="1:7" ht="37.5" x14ac:dyDescent="0.25">
      <c r="A163" s="13" t="s">
        <v>366</v>
      </c>
      <c r="B163" s="263">
        <v>7</v>
      </c>
      <c r="C163" s="264"/>
      <c r="D163" s="261">
        <v>1000</v>
      </c>
      <c r="E163" s="262"/>
      <c r="F163" s="261">
        <f>B163*D163*12</f>
        <v>84000</v>
      </c>
      <c r="G163" s="262"/>
    </row>
    <row r="164" spans="1:7" ht="18.75" x14ac:dyDescent="0.25">
      <c r="A164" s="13" t="s">
        <v>367</v>
      </c>
      <c r="B164" s="263">
        <v>6</v>
      </c>
      <c r="C164" s="264"/>
      <c r="D164" s="261">
        <v>1000</v>
      </c>
      <c r="E164" s="262"/>
      <c r="F164" s="261">
        <f>B164*D164*12</f>
        <v>72000</v>
      </c>
      <c r="G164" s="262"/>
    </row>
    <row r="165" spans="1:7" ht="18.75" x14ac:dyDescent="0.25">
      <c r="A165" s="13" t="s">
        <v>422</v>
      </c>
      <c r="B165" s="263" t="s">
        <v>117</v>
      </c>
      <c r="C165" s="264"/>
      <c r="D165" s="263" t="s">
        <v>117</v>
      </c>
      <c r="E165" s="264"/>
      <c r="F165" s="261">
        <v>2000</v>
      </c>
      <c r="G165" s="262"/>
    </row>
    <row r="166" spans="1:7" ht="18.75" customHeight="1" x14ac:dyDescent="0.25">
      <c r="A166" s="13" t="s">
        <v>418</v>
      </c>
      <c r="B166" s="263" t="s">
        <v>117</v>
      </c>
      <c r="C166" s="264"/>
      <c r="D166" s="263" t="s">
        <v>117</v>
      </c>
      <c r="E166" s="264"/>
      <c r="F166" s="261">
        <v>2040</v>
      </c>
      <c r="G166" s="262"/>
    </row>
    <row r="167" spans="1:7" ht="18.75" customHeight="1" x14ac:dyDescent="0.25">
      <c r="A167" s="13" t="s">
        <v>368</v>
      </c>
      <c r="B167" s="263" t="s">
        <v>274</v>
      </c>
      <c r="C167" s="264"/>
      <c r="D167" s="261">
        <v>92350</v>
      </c>
      <c r="E167" s="262"/>
      <c r="F167" s="261">
        <f>D167*12</f>
        <v>1108200</v>
      </c>
      <c r="G167" s="262"/>
    </row>
    <row r="168" spans="1:7" ht="18.75" x14ac:dyDescent="0.25">
      <c r="A168" s="13" t="s">
        <v>369</v>
      </c>
      <c r="B168" s="263" t="s">
        <v>274</v>
      </c>
      <c r="C168" s="264"/>
      <c r="D168" s="261">
        <v>92450</v>
      </c>
      <c r="E168" s="262"/>
      <c r="F168" s="261">
        <f>D168*12</f>
        <v>1109400</v>
      </c>
      <c r="G168" s="262"/>
    </row>
    <row r="169" spans="1:7" ht="18.75" x14ac:dyDescent="0.25">
      <c r="A169" s="13" t="s">
        <v>339</v>
      </c>
      <c r="B169" s="293"/>
      <c r="C169" s="294"/>
      <c r="D169" s="293"/>
      <c r="E169" s="294"/>
      <c r="F169" s="261">
        <f>'гос.задание на 2024-2025 год '!D34</f>
        <v>2377640</v>
      </c>
      <c r="G169" s="262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80" t="s">
        <v>218</v>
      </c>
      <c r="B171" s="280"/>
      <c r="C171" s="280"/>
      <c r="D171" s="280"/>
      <c r="E171" s="280"/>
      <c r="F171" s="280"/>
      <c r="G171" s="280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81" t="s">
        <v>126</v>
      </c>
      <c r="C175" s="281"/>
      <c r="D175" s="281" t="s">
        <v>127</v>
      </c>
      <c r="E175" s="281"/>
      <c r="F175" s="281" t="s">
        <v>94</v>
      </c>
      <c r="G175" s="281"/>
    </row>
    <row r="176" spans="1:7" ht="18.75" x14ac:dyDescent="0.25">
      <c r="A176" s="106">
        <v>1</v>
      </c>
      <c r="B176" s="263">
        <v>2</v>
      </c>
      <c r="C176" s="264"/>
      <c r="D176" s="263">
        <v>3</v>
      </c>
      <c r="E176" s="264"/>
      <c r="F176" s="263">
        <v>4</v>
      </c>
      <c r="G176" s="264"/>
    </row>
    <row r="177" spans="1:7" ht="37.5" x14ac:dyDescent="0.25">
      <c r="A177" s="13" t="s">
        <v>18</v>
      </c>
      <c r="B177" s="263" t="s">
        <v>117</v>
      </c>
      <c r="C177" s="264"/>
      <c r="D177" s="263" t="s">
        <v>117</v>
      </c>
      <c r="E177" s="264"/>
      <c r="F177" s="261">
        <f>'гос.задание на 2024-2025 год '!D41</f>
        <v>0</v>
      </c>
      <c r="G177" s="262"/>
    </row>
    <row r="178" spans="1:7" ht="37.5" x14ac:dyDescent="0.25">
      <c r="A178" s="13" t="s">
        <v>385</v>
      </c>
      <c r="B178" s="263" t="s">
        <v>387</v>
      </c>
      <c r="C178" s="264"/>
      <c r="D178" s="263">
        <v>6119.41</v>
      </c>
      <c r="E178" s="264"/>
      <c r="F178" s="283">
        <f>'гос.задание на 2024-2025 год '!D43</f>
        <v>3771002.76</v>
      </c>
      <c r="G178" s="284"/>
    </row>
    <row r="179" spans="1:7" ht="37.5" x14ac:dyDescent="0.25">
      <c r="A179" s="13" t="s">
        <v>386</v>
      </c>
      <c r="B179" s="263" t="s">
        <v>419</v>
      </c>
      <c r="C179" s="264"/>
      <c r="D179" s="263">
        <v>7.34</v>
      </c>
      <c r="E179" s="264"/>
      <c r="F179" s="285"/>
      <c r="G179" s="286"/>
    </row>
    <row r="180" spans="1:7" ht="56.25" x14ac:dyDescent="0.25">
      <c r="A180" s="13" t="s">
        <v>370</v>
      </c>
      <c r="B180" s="263" t="s">
        <v>388</v>
      </c>
      <c r="C180" s="264"/>
      <c r="D180" s="263">
        <v>5.46</v>
      </c>
      <c r="E180" s="264"/>
      <c r="F180" s="283">
        <f>'гос.задание на 2024-2025 год '!D45</f>
        <v>26347822.98</v>
      </c>
      <c r="G180" s="284"/>
    </row>
    <row r="181" spans="1:7" ht="56.25" x14ac:dyDescent="0.25">
      <c r="A181" s="13" t="s">
        <v>371</v>
      </c>
      <c r="B181" s="263" t="s">
        <v>420</v>
      </c>
      <c r="C181" s="264"/>
      <c r="D181" s="263">
        <v>1127.17</v>
      </c>
      <c r="E181" s="264"/>
      <c r="F181" s="285"/>
      <c r="G181" s="286"/>
    </row>
    <row r="182" spans="1:7" ht="56.25" x14ac:dyDescent="0.25">
      <c r="A182" s="13" t="s">
        <v>373</v>
      </c>
      <c r="B182" s="263" t="s">
        <v>389</v>
      </c>
      <c r="C182" s="264"/>
      <c r="D182" s="263">
        <v>64.430000000000007</v>
      </c>
      <c r="E182" s="264"/>
      <c r="F182" s="283">
        <f>'гос.задание на 2024-2025 год '!D46</f>
        <v>6836281.71</v>
      </c>
      <c r="G182" s="284"/>
    </row>
    <row r="183" spans="1:7" ht="56.25" x14ac:dyDescent="0.25">
      <c r="A183" s="13" t="s">
        <v>374</v>
      </c>
      <c r="B183" s="263" t="s">
        <v>421</v>
      </c>
      <c r="C183" s="264"/>
      <c r="D183" s="263">
        <v>100.33</v>
      </c>
      <c r="E183" s="264"/>
      <c r="F183" s="285"/>
      <c r="G183" s="286"/>
    </row>
    <row r="184" spans="1:7" ht="37.5" x14ac:dyDescent="0.25">
      <c r="A184" s="24" t="s">
        <v>375</v>
      </c>
      <c r="B184" s="263" t="s">
        <v>390</v>
      </c>
      <c r="C184" s="264"/>
      <c r="D184" s="263">
        <v>702.49</v>
      </c>
      <c r="E184" s="264"/>
      <c r="F184" s="283">
        <f>'гос.задание на 2024-2025 год '!D47</f>
        <v>619677.14</v>
      </c>
      <c r="G184" s="284"/>
    </row>
    <row r="185" spans="1:7" ht="37.5" x14ac:dyDescent="0.25">
      <c r="A185" s="24" t="s">
        <v>376</v>
      </c>
      <c r="B185" s="263" t="s">
        <v>411</v>
      </c>
      <c r="C185" s="264"/>
      <c r="D185" s="263">
        <v>668.99</v>
      </c>
      <c r="E185" s="264"/>
      <c r="F185" s="285"/>
      <c r="G185" s="286"/>
    </row>
    <row r="186" spans="1:7" ht="18.75" x14ac:dyDescent="0.25">
      <c r="A186" s="24" t="s">
        <v>146</v>
      </c>
      <c r="B186" s="263"/>
      <c r="C186" s="264"/>
      <c r="D186" s="263"/>
      <c r="E186" s="264"/>
      <c r="F186" s="261">
        <f>F177+F178+F180+F182+F184</f>
        <v>37574784.590000004</v>
      </c>
      <c r="G186" s="262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82" t="s">
        <v>220</v>
      </c>
      <c r="B188" s="282"/>
      <c r="C188" s="282"/>
      <c r="D188" s="282"/>
      <c r="E188" s="282"/>
      <c r="F188" s="282"/>
      <c r="G188" s="28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3" t="s">
        <v>86</v>
      </c>
      <c r="B192" s="292"/>
      <c r="C192" s="264"/>
      <c r="D192" s="281" t="s">
        <v>131</v>
      </c>
      <c r="E192" s="281"/>
      <c r="F192" s="281" t="s">
        <v>132</v>
      </c>
      <c r="G192" s="281"/>
    </row>
    <row r="193" spans="1:7" ht="18.75" x14ac:dyDescent="0.3">
      <c r="A193" s="263">
        <v>1</v>
      </c>
      <c r="B193" s="292"/>
      <c r="C193" s="264"/>
      <c r="D193" s="254">
        <v>2</v>
      </c>
      <c r="E193" s="255"/>
      <c r="F193" s="254">
        <v>3</v>
      </c>
      <c r="G193" s="255"/>
    </row>
    <row r="194" spans="1:7" ht="18.75" x14ac:dyDescent="0.3">
      <c r="A194" s="258" t="s">
        <v>377</v>
      </c>
      <c r="B194" s="259"/>
      <c r="C194" s="260"/>
      <c r="D194" s="254"/>
      <c r="E194" s="255"/>
      <c r="F194" s="271"/>
      <c r="G194" s="273"/>
    </row>
    <row r="195" spans="1:7" ht="18.75" customHeight="1" x14ac:dyDescent="0.3">
      <c r="A195" s="258" t="s">
        <v>275</v>
      </c>
      <c r="B195" s="259"/>
      <c r="C195" s="260"/>
      <c r="D195" s="254">
        <v>12</v>
      </c>
      <c r="E195" s="255"/>
      <c r="F195" s="271">
        <f>258945</f>
        <v>258945</v>
      </c>
      <c r="G195" s="273"/>
    </row>
    <row r="196" spans="1:7" ht="18.75" customHeight="1" x14ac:dyDescent="0.3">
      <c r="A196" s="258" t="s">
        <v>276</v>
      </c>
      <c r="B196" s="259"/>
      <c r="C196" s="260"/>
      <c r="D196" s="254">
        <v>12</v>
      </c>
      <c r="E196" s="255"/>
      <c r="F196" s="271">
        <f>34500*12</f>
        <v>414000</v>
      </c>
      <c r="G196" s="273"/>
    </row>
    <row r="197" spans="1:7" ht="18.75" customHeight="1" x14ac:dyDescent="0.3">
      <c r="A197" s="258" t="s">
        <v>277</v>
      </c>
      <c r="B197" s="259"/>
      <c r="C197" s="260"/>
      <c r="D197" s="254">
        <v>12</v>
      </c>
      <c r="E197" s="255"/>
      <c r="F197" s="271">
        <f>144400</f>
        <v>144400</v>
      </c>
      <c r="G197" s="273"/>
    </row>
    <row r="198" spans="1:7" ht="18.75" customHeight="1" x14ac:dyDescent="0.3">
      <c r="A198" s="258" t="s">
        <v>279</v>
      </c>
      <c r="B198" s="259"/>
      <c r="C198" s="260"/>
      <c r="D198" s="254">
        <v>12</v>
      </c>
      <c r="E198" s="255"/>
      <c r="F198" s="271">
        <f>265454.52</f>
        <v>265454.52</v>
      </c>
      <c r="G198" s="273"/>
    </row>
    <row r="199" spans="1:7" ht="18.75" x14ac:dyDescent="0.3">
      <c r="A199" s="258" t="s">
        <v>278</v>
      </c>
      <c r="B199" s="259"/>
      <c r="C199" s="260"/>
      <c r="D199" s="254">
        <v>7</v>
      </c>
      <c r="E199" s="255"/>
      <c r="F199" s="271">
        <f>69580</f>
        <v>69580</v>
      </c>
      <c r="G199" s="273"/>
    </row>
    <row r="200" spans="1:7" ht="18.75" customHeight="1" x14ac:dyDescent="0.3">
      <c r="A200" s="258" t="s">
        <v>280</v>
      </c>
      <c r="B200" s="259"/>
      <c r="C200" s="260"/>
      <c r="D200" s="254">
        <v>12</v>
      </c>
      <c r="E200" s="255"/>
      <c r="F200" s="271">
        <f>4457.75</f>
        <v>4457.75</v>
      </c>
      <c r="G200" s="273"/>
    </row>
    <row r="201" spans="1:7" ht="18.75" customHeight="1" x14ac:dyDescent="0.3">
      <c r="A201" s="258" t="s">
        <v>281</v>
      </c>
      <c r="B201" s="259"/>
      <c r="C201" s="260"/>
      <c r="D201" s="254">
        <v>12</v>
      </c>
      <c r="E201" s="255"/>
      <c r="F201" s="271">
        <f>18700</f>
        <v>18700</v>
      </c>
      <c r="G201" s="273"/>
    </row>
    <row r="202" spans="1:7" ht="38.25" customHeight="1" x14ac:dyDescent="0.3">
      <c r="A202" s="258" t="s">
        <v>282</v>
      </c>
      <c r="B202" s="259"/>
      <c r="C202" s="260"/>
      <c r="D202" s="254">
        <v>12</v>
      </c>
      <c r="E202" s="255"/>
      <c r="F202" s="271">
        <f>180000</f>
        <v>180000</v>
      </c>
      <c r="G202" s="273"/>
    </row>
    <row r="203" spans="1:7" ht="18.75" customHeight="1" x14ac:dyDescent="0.3">
      <c r="A203" s="258" t="s">
        <v>283</v>
      </c>
      <c r="B203" s="259"/>
      <c r="C203" s="260"/>
      <c r="D203" s="254">
        <v>12</v>
      </c>
      <c r="E203" s="255"/>
      <c r="F203" s="271">
        <f>330909.12</f>
        <v>330909.12</v>
      </c>
      <c r="G203" s="273"/>
    </row>
    <row r="204" spans="1:7" ht="18.75" customHeight="1" x14ac:dyDescent="0.3">
      <c r="A204" s="258" t="s">
        <v>284</v>
      </c>
      <c r="B204" s="259"/>
      <c r="C204" s="260"/>
      <c r="D204" s="254">
        <v>12</v>
      </c>
      <c r="E204" s="255"/>
      <c r="F204" s="271">
        <f>6000</f>
        <v>6000</v>
      </c>
      <c r="G204" s="273"/>
    </row>
    <row r="205" spans="1:7" ht="37.5" customHeight="1" x14ac:dyDescent="0.3">
      <c r="A205" s="258" t="s">
        <v>136</v>
      </c>
      <c r="B205" s="259"/>
      <c r="C205" s="260"/>
      <c r="D205" s="254">
        <v>2</v>
      </c>
      <c r="E205" s="255"/>
      <c r="F205" s="271">
        <v>50000</v>
      </c>
      <c r="G205" s="273"/>
    </row>
    <row r="206" spans="1:7" ht="18.75" customHeight="1" x14ac:dyDescent="0.3">
      <c r="A206" s="258" t="s">
        <v>285</v>
      </c>
      <c r="B206" s="259"/>
      <c r="C206" s="260"/>
      <c r="D206" s="254">
        <v>12</v>
      </c>
      <c r="E206" s="255"/>
      <c r="F206" s="271">
        <f>7200</f>
        <v>7200</v>
      </c>
      <c r="G206" s="273"/>
    </row>
    <row r="207" spans="1:7" ht="18.75" customHeight="1" x14ac:dyDescent="0.3">
      <c r="A207" s="258" t="s">
        <v>379</v>
      </c>
      <c r="B207" s="259"/>
      <c r="C207" s="260"/>
      <c r="D207" s="254">
        <v>12</v>
      </c>
      <c r="E207" s="255"/>
      <c r="F207" s="271">
        <v>95440</v>
      </c>
      <c r="G207" s="273"/>
    </row>
    <row r="208" spans="1:7" ht="18.75" customHeight="1" x14ac:dyDescent="0.3">
      <c r="A208" s="258" t="s">
        <v>380</v>
      </c>
      <c r="B208" s="259"/>
      <c r="C208" s="260"/>
      <c r="D208" s="254">
        <v>1</v>
      </c>
      <c r="E208" s="255"/>
      <c r="F208" s="271">
        <v>917800</v>
      </c>
      <c r="G208" s="273"/>
    </row>
    <row r="209" spans="1:7" ht="18.75" x14ac:dyDescent="0.3">
      <c r="A209" s="258" t="s">
        <v>291</v>
      </c>
      <c r="B209" s="259"/>
      <c r="C209" s="260"/>
      <c r="D209" s="254">
        <v>1</v>
      </c>
      <c r="E209" s="255"/>
      <c r="F209" s="271">
        <f>569060.67</f>
        <v>569060.67000000004</v>
      </c>
      <c r="G209" s="273"/>
    </row>
    <row r="210" spans="1:7" ht="18.75" customHeight="1" x14ac:dyDescent="0.3">
      <c r="A210" s="258" t="s">
        <v>286</v>
      </c>
      <c r="B210" s="259"/>
      <c r="C210" s="260"/>
      <c r="D210" s="254">
        <v>12</v>
      </c>
      <c r="E210" s="255"/>
      <c r="F210" s="271">
        <v>3922723.81</v>
      </c>
      <c r="G210" s="273"/>
    </row>
    <row r="211" spans="1:7" ht="18.75" customHeight="1" x14ac:dyDescent="0.3">
      <c r="A211" s="258" t="s">
        <v>287</v>
      </c>
      <c r="B211" s="259"/>
      <c r="C211" s="260"/>
      <c r="D211" s="254">
        <v>12</v>
      </c>
      <c r="E211" s="255"/>
      <c r="F211" s="271">
        <v>859297.46</v>
      </c>
      <c r="G211" s="273"/>
    </row>
    <row r="212" spans="1:7" ht="18.75" customHeight="1" x14ac:dyDescent="0.3">
      <c r="A212" s="258" t="s">
        <v>343</v>
      </c>
      <c r="B212" s="259"/>
      <c r="C212" s="260"/>
      <c r="D212" s="254">
        <v>12</v>
      </c>
      <c r="E212" s="255"/>
      <c r="F212" s="271">
        <v>10228058.640000001</v>
      </c>
      <c r="G212" s="273"/>
    </row>
    <row r="213" spans="1:7" ht="18.75" customHeight="1" x14ac:dyDescent="0.3">
      <c r="A213" s="258" t="s">
        <v>344</v>
      </c>
      <c r="B213" s="259"/>
      <c r="C213" s="260"/>
      <c r="D213" s="254">
        <v>12</v>
      </c>
      <c r="E213" s="255"/>
      <c r="F213" s="271">
        <v>75000</v>
      </c>
      <c r="G213" s="273"/>
    </row>
    <row r="214" spans="1:7" ht="18.75" customHeight="1" x14ac:dyDescent="0.3">
      <c r="A214" s="258" t="s">
        <v>381</v>
      </c>
      <c r="B214" s="259"/>
      <c r="C214" s="260"/>
      <c r="D214" s="254">
        <v>12</v>
      </c>
      <c r="E214" s="255"/>
      <c r="F214" s="271">
        <v>1314000</v>
      </c>
      <c r="G214" s="273"/>
    </row>
    <row r="215" spans="1:7" ht="18.75" x14ac:dyDescent="0.3">
      <c r="A215" s="258" t="s">
        <v>288</v>
      </c>
      <c r="B215" s="259"/>
      <c r="C215" s="260"/>
      <c r="D215" s="254">
        <v>12</v>
      </c>
      <c r="E215" s="255"/>
      <c r="F215" s="271">
        <v>700</v>
      </c>
      <c r="G215" s="273"/>
    </row>
    <row r="216" spans="1:7" ht="18.75" customHeight="1" x14ac:dyDescent="0.3">
      <c r="A216" s="258" t="s">
        <v>289</v>
      </c>
      <c r="B216" s="259"/>
      <c r="C216" s="260"/>
      <c r="D216" s="254">
        <v>5</v>
      </c>
      <c r="E216" s="255"/>
      <c r="F216" s="271">
        <f>400000</f>
        <v>400000</v>
      </c>
      <c r="G216" s="273"/>
    </row>
    <row r="217" spans="1:7" ht="18.75" x14ac:dyDescent="0.3">
      <c r="A217" s="258" t="s">
        <v>290</v>
      </c>
      <c r="B217" s="259"/>
      <c r="C217" s="260"/>
      <c r="D217" s="254">
        <v>1</v>
      </c>
      <c r="E217" s="255"/>
      <c r="F217" s="271">
        <v>2609404.16</v>
      </c>
      <c r="G217" s="273"/>
    </row>
    <row r="218" spans="1:7" ht="18.75" customHeight="1" x14ac:dyDescent="0.3">
      <c r="A218" s="258" t="s">
        <v>378</v>
      </c>
      <c r="B218" s="259"/>
      <c r="C218" s="260"/>
      <c r="D218" s="254"/>
      <c r="E218" s="255"/>
      <c r="F218" s="271"/>
      <c r="G218" s="273"/>
    </row>
    <row r="219" spans="1:7" ht="18.75" customHeight="1" x14ac:dyDescent="0.3">
      <c r="A219" s="258" t="s">
        <v>393</v>
      </c>
      <c r="B219" s="259"/>
      <c r="C219" s="260"/>
      <c r="D219" s="254">
        <v>12</v>
      </c>
      <c r="E219" s="255"/>
      <c r="F219" s="271">
        <v>644544</v>
      </c>
      <c r="G219" s="273"/>
    </row>
    <row r="220" spans="1:7" ht="18.75" customHeight="1" x14ac:dyDescent="0.3">
      <c r="A220" s="258" t="s">
        <v>394</v>
      </c>
      <c r="B220" s="259"/>
      <c r="C220" s="260"/>
      <c r="D220" s="254">
        <v>12</v>
      </c>
      <c r="E220" s="255"/>
      <c r="F220" s="271">
        <v>217898.84159999999</v>
      </c>
      <c r="G220" s="273"/>
    </row>
    <row r="221" spans="1:7" ht="18.75" customHeight="1" x14ac:dyDescent="0.3">
      <c r="A221" s="258" t="s">
        <v>395</v>
      </c>
      <c r="B221" s="259"/>
      <c r="C221" s="260"/>
      <c r="D221" s="254">
        <v>12</v>
      </c>
      <c r="E221" s="255"/>
      <c r="F221" s="271">
        <v>303329.56799999997</v>
      </c>
      <c r="G221" s="273"/>
    </row>
    <row r="222" spans="1:7" ht="18.75" customHeight="1" x14ac:dyDescent="0.3">
      <c r="A222" s="258" t="s">
        <v>396</v>
      </c>
      <c r="B222" s="259"/>
      <c r="C222" s="260"/>
      <c r="D222" s="254">
        <v>12</v>
      </c>
      <c r="E222" s="255"/>
      <c r="F222" s="271">
        <v>577146.18240000005</v>
      </c>
      <c r="G222" s="273"/>
    </row>
    <row r="223" spans="1:7" ht="18.75" customHeight="1" x14ac:dyDescent="0.3">
      <c r="A223" s="258" t="s">
        <v>397</v>
      </c>
      <c r="B223" s="259"/>
      <c r="C223" s="260"/>
      <c r="D223" s="254">
        <v>12</v>
      </c>
      <c r="E223" s="255"/>
      <c r="F223" s="271">
        <v>118689.19680000001</v>
      </c>
      <c r="G223" s="273"/>
    </row>
    <row r="224" spans="1:7" ht="18.75" customHeight="1" x14ac:dyDescent="0.3">
      <c r="A224" s="258" t="s">
        <v>398</v>
      </c>
      <c r="B224" s="259"/>
      <c r="C224" s="260"/>
      <c r="D224" s="254">
        <v>12</v>
      </c>
      <c r="E224" s="255"/>
      <c r="F224" s="271">
        <v>1339219.2</v>
      </c>
      <c r="G224" s="273"/>
    </row>
    <row r="225" spans="1:7" ht="18.75" customHeight="1" x14ac:dyDescent="0.3">
      <c r="A225" s="258" t="s">
        <v>399</v>
      </c>
      <c r="B225" s="259"/>
      <c r="C225" s="260"/>
      <c r="D225" s="254">
        <v>12</v>
      </c>
      <c r="E225" s="255"/>
      <c r="F225" s="271">
        <v>121747.2</v>
      </c>
      <c r="G225" s="273"/>
    </row>
    <row r="226" spans="1:7" ht="18.75" customHeight="1" x14ac:dyDescent="0.3">
      <c r="A226" s="258" t="s">
        <v>400</v>
      </c>
      <c r="B226" s="259"/>
      <c r="C226" s="260"/>
      <c r="D226" s="254">
        <v>12</v>
      </c>
      <c r="E226" s="255"/>
      <c r="F226" s="271">
        <v>48698.879999999997</v>
      </c>
      <c r="G226" s="273"/>
    </row>
    <row r="227" spans="1:7" ht="18.75" customHeight="1" x14ac:dyDescent="0.3">
      <c r="A227" s="258" t="s">
        <v>401</v>
      </c>
      <c r="B227" s="259"/>
      <c r="C227" s="260"/>
      <c r="D227" s="254">
        <v>12</v>
      </c>
      <c r="E227" s="255"/>
      <c r="F227" s="271">
        <v>71616</v>
      </c>
      <c r="G227" s="273"/>
    </row>
    <row r="228" spans="1:7" ht="18.75" x14ac:dyDescent="0.3">
      <c r="A228" s="258" t="s">
        <v>402</v>
      </c>
      <c r="B228" s="259"/>
      <c r="C228" s="260"/>
      <c r="D228" s="254">
        <v>12</v>
      </c>
      <c r="E228" s="255"/>
      <c r="F228" s="271">
        <v>35627.198400000751</v>
      </c>
      <c r="G228" s="273"/>
    </row>
    <row r="229" spans="1:7" ht="18.75" customHeight="1" x14ac:dyDescent="0.3">
      <c r="A229" s="258" t="s">
        <v>286</v>
      </c>
      <c r="B229" s="259"/>
      <c r="C229" s="260"/>
      <c r="D229" s="254">
        <v>12</v>
      </c>
      <c r="E229" s="255"/>
      <c r="F229" s="271">
        <v>746000</v>
      </c>
      <c r="G229" s="273"/>
    </row>
    <row r="230" spans="1:7" ht="18.75" customHeight="1" x14ac:dyDescent="0.3">
      <c r="A230" s="258" t="s">
        <v>403</v>
      </c>
      <c r="B230" s="259"/>
      <c r="C230" s="260"/>
      <c r="D230" s="254">
        <v>12</v>
      </c>
      <c r="E230" s="255"/>
      <c r="F230" s="271">
        <v>131296</v>
      </c>
      <c r="G230" s="273"/>
    </row>
    <row r="231" spans="1:7" ht="18.75" customHeight="1" x14ac:dyDescent="0.3">
      <c r="A231" s="258" t="s">
        <v>425</v>
      </c>
      <c r="B231" s="259"/>
      <c r="C231" s="260"/>
      <c r="D231" s="254">
        <v>12</v>
      </c>
      <c r="E231" s="255"/>
      <c r="F231" s="271">
        <v>17187.84</v>
      </c>
      <c r="G231" s="273"/>
    </row>
    <row r="232" spans="1:7" ht="18.75" x14ac:dyDescent="0.3">
      <c r="A232" s="258" t="s">
        <v>404</v>
      </c>
      <c r="B232" s="259"/>
      <c r="C232" s="260"/>
      <c r="D232" s="254">
        <v>1</v>
      </c>
      <c r="E232" s="255"/>
      <c r="F232" s="271">
        <v>208880</v>
      </c>
      <c r="G232" s="273"/>
    </row>
    <row r="233" spans="1:7" ht="18.75" x14ac:dyDescent="0.3">
      <c r="A233" s="258" t="s">
        <v>406</v>
      </c>
      <c r="B233" s="259"/>
      <c r="C233" s="260"/>
      <c r="D233" s="254">
        <v>3</v>
      </c>
      <c r="E233" s="255"/>
      <c r="F233" s="271">
        <v>281.09280000000001</v>
      </c>
      <c r="G233" s="273"/>
    </row>
    <row r="234" spans="1:7" ht="37.5" customHeight="1" x14ac:dyDescent="0.3">
      <c r="A234" s="258" t="s">
        <v>426</v>
      </c>
      <c r="B234" s="259"/>
      <c r="C234" s="260"/>
      <c r="D234" s="254">
        <v>12</v>
      </c>
      <c r="E234" s="255"/>
      <c r="F234" s="271">
        <v>1417996.8</v>
      </c>
      <c r="G234" s="273"/>
    </row>
    <row r="235" spans="1:7" ht="18.75" x14ac:dyDescent="0.3">
      <c r="A235" s="258" t="s">
        <v>405</v>
      </c>
      <c r="B235" s="259"/>
      <c r="C235" s="260"/>
      <c r="D235" s="254">
        <v>12</v>
      </c>
      <c r="E235" s="255"/>
      <c r="F235" s="271">
        <v>1396512</v>
      </c>
      <c r="G235" s="273"/>
    </row>
    <row r="236" spans="1:7" ht="18.75" customHeight="1" x14ac:dyDescent="0.3">
      <c r="A236" s="258" t="s">
        <v>429</v>
      </c>
      <c r="B236" s="259"/>
      <c r="C236" s="260"/>
      <c r="D236" s="254">
        <v>12</v>
      </c>
      <c r="E236" s="255"/>
      <c r="F236" s="271">
        <v>149200</v>
      </c>
      <c r="G236" s="273"/>
    </row>
    <row r="237" spans="1:7" ht="18.75" x14ac:dyDescent="0.3">
      <c r="A237" s="258" t="s">
        <v>146</v>
      </c>
      <c r="B237" s="259"/>
      <c r="C237" s="260"/>
      <c r="D237" s="289"/>
      <c r="E237" s="290"/>
      <c r="F237" s="271">
        <f>'гос.задание на 2024-2025 год '!D52</f>
        <v>30287001.129999999</v>
      </c>
      <c r="G237" s="273"/>
    </row>
    <row r="238" spans="1:7" ht="18.75" x14ac:dyDescent="0.25">
      <c r="A238" s="29"/>
    </row>
    <row r="239" spans="1:7" ht="18.75" x14ac:dyDescent="0.25">
      <c r="A239" s="280" t="s">
        <v>221</v>
      </c>
      <c r="B239" s="280"/>
      <c r="C239" s="280"/>
      <c r="D239" s="280"/>
      <c r="E239" s="280"/>
      <c r="F239" s="280"/>
      <c r="G239" s="280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3" t="s">
        <v>86</v>
      </c>
      <c r="B243" s="292"/>
      <c r="C243" s="264"/>
      <c r="D243" s="281" t="s">
        <v>137</v>
      </c>
      <c r="E243" s="281"/>
      <c r="F243" s="281" t="s">
        <v>138</v>
      </c>
      <c r="G243" s="281"/>
    </row>
    <row r="244" spans="1:7" ht="18.75" x14ac:dyDescent="0.3">
      <c r="A244" s="263">
        <v>1</v>
      </c>
      <c r="B244" s="292"/>
      <c r="C244" s="264"/>
      <c r="D244" s="254">
        <v>2</v>
      </c>
      <c r="E244" s="255"/>
      <c r="F244" s="254">
        <v>3</v>
      </c>
      <c r="G244" s="255"/>
    </row>
    <row r="245" spans="1:7" ht="18.75" customHeight="1" x14ac:dyDescent="0.3">
      <c r="A245" s="258" t="s">
        <v>139</v>
      </c>
      <c r="B245" s="259"/>
      <c r="C245" s="260"/>
      <c r="D245" s="267">
        <v>1</v>
      </c>
      <c r="E245" s="268"/>
      <c r="F245" s="271">
        <f>120000+33816</f>
        <v>153816</v>
      </c>
      <c r="G245" s="273"/>
    </row>
    <row r="246" spans="1:7" ht="18.75" x14ac:dyDescent="0.3">
      <c r="A246" s="258" t="s">
        <v>140</v>
      </c>
      <c r="B246" s="259"/>
      <c r="C246" s="260"/>
      <c r="D246" s="267">
        <v>1</v>
      </c>
      <c r="E246" s="268"/>
      <c r="F246" s="271">
        <v>5973853</v>
      </c>
      <c r="G246" s="273"/>
    </row>
    <row r="247" spans="1:7" ht="18.75" customHeight="1" x14ac:dyDescent="0.3">
      <c r="A247" s="258" t="s">
        <v>345</v>
      </c>
      <c r="B247" s="259"/>
      <c r="C247" s="260"/>
      <c r="D247" s="267">
        <v>1</v>
      </c>
      <c r="E247" s="268"/>
      <c r="F247" s="271">
        <v>19744</v>
      </c>
      <c r="G247" s="273"/>
    </row>
    <row r="248" spans="1:7" ht="18.75" x14ac:dyDescent="0.3">
      <c r="A248" s="258" t="s">
        <v>292</v>
      </c>
      <c r="B248" s="259"/>
      <c r="C248" s="260"/>
      <c r="D248" s="267">
        <v>1</v>
      </c>
      <c r="E248" s="268"/>
      <c r="F248" s="271">
        <v>36000</v>
      </c>
      <c r="G248" s="273"/>
    </row>
    <row r="249" spans="1:7" ht="18.75" customHeight="1" x14ac:dyDescent="0.3">
      <c r="A249" s="258" t="s">
        <v>293</v>
      </c>
      <c r="B249" s="259"/>
      <c r="C249" s="260"/>
      <c r="D249" s="267">
        <v>5</v>
      </c>
      <c r="E249" s="268"/>
      <c r="F249" s="271">
        <v>45000</v>
      </c>
      <c r="G249" s="273"/>
    </row>
    <row r="250" spans="1:7" ht="18.75" x14ac:dyDescent="0.3">
      <c r="A250" s="258" t="s">
        <v>346</v>
      </c>
      <c r="B250" s="259"/>
      <c r="C250" s="260"/>
      <c r="D250" s="267">
        <v>1</v>
      </c>
      <c r="E250" s="268"/>
      <c r="F250" s="271">
        <v>45000</v>
      </c>
      <c r="G250" s="273"/>
    </row>
    <row r="251" spans="1:7" ht="18.75" customHeight="1" x14ac:dyDescent="0.3">
      <c r="A251" s="258" t="s">
        <v>294</v>
      </c>
      <c r="B251" s="259"/>
      <c r="C251" s="260"/>
      <c r="D251" s="267">
        <v>1</v>
      </c>
      <c r="E251" s="268"/>
      <c r="F251" s="271">
        <v>6000</v>
      </c>
      <c r="G251" s="273"/>
    </row>
    <row r="252" spans="1:7" ht="18.75" x14ac:dyDescent="0.3">
      <c r="A252" s="258" t="s">
        <v>295</v>
      </c>
      <c r="B252" s="259"/>
      <c r="C252" s="260"/>
      <c r="D252" s="267">
        <v>9</v>
      </c>
      <c r="E252" s="268"/>
      <c r="F252" s="271">
        <v>83001.279999999999</v>
      </c>
      <c r="G252" s="273"/>
    </row>
    <row r="253" spans="1:7" ht="18.75" customHeight="1" x14ac:dyDescent="0.3">
      <c r="A253" s="258" t="s">
        <v>347</v>
      </c>
      <c r="B253" s="259"/>
      <c r="C253" s="260"/>
      <c r="D253" s="267">
        <v>1</v>
      </c>
      <c r="E253" s="268"/>
      <c r="F253" s="271">
        <v>55000</v>
      </c>
      <c r="G253" s="273"/>
    </row>
    <row r="254" spans="1:7" ht="18.75" x14ac:dyDescent="0.3">
      <c r="A254" s="258" t="s">
        <v>382</v>
      </c>
      <c r="B254" s="259"/>
      <c r="C254" s="260"/>
      <c r="D254" s="267">
        <v>6</v>
      </c>
      <c r="E254" s="268"/>
      <c r="F254" s="271">
        <v>7620</v>
      </c>
      <c r="G254" s="273"/>
    </row>
    <row r="255" spans="1:7" ht="18.75" customHeight="1" x14ac:dyDescent="0.3">
      <c r="A255" s="258" t="s">
        <v>383</v>
      </c>
      <c r="B255" s="259"/>
      <c r="C255" s="260"/>
      <c r="D255" s="267">
        <v>2</v>
      </c>
      <c r="E255" s="268"/>
      <c r="F255" s="271">
        <v>60000</v>
      </c>
      <c r="G255" s="273"/>
    </row>
    <row r="256" spans="1:7" ht="18.75" customHeight="1" x14ac:dyDescent="0.3">
      <c r="A256" s="258" t="s">
        <v>407</v>
      </c>
      <c r="B256" s="259"/>
      <c r="C256" s="260"/>
      <c r="D256" s="267">
        <v>1</v>
      </c>
      <c r="E256" s="268"/>
      <c r="F256" s="271">
        <v>17350.5</v>
      </c>
      <c r="G256" s="273"/>
    </row>
    <row r="257" spans="1:7" ht="18.75" x14ac:dyDescent="0.3">
      <c r="A257" s="258" t="s">
        <v>408</v>
      </c>
      <c r="B257" s="259"/>
      <c r="C257" s="260"/>
      <c r="D257" s="267">
        <v>1</v>
      </c>
      <c r="E257" s="268"/>
      <c r="F257" s="271">
        <v>66394.58</v>
      </c>
      <c r="G257" s="273"/>
    </row>
    <row r="258" spans="1:7" ht="18.75" customHeight="1" x14ac:dyDescent="0.3">
      <c r="A258" s="258" t="s">
        <v>409</v>
      </c>
      <c r="B258" s="259"/>
      <c r="C258" s="260"/>
      <c r="D258" s="267">
        <v>1</v>
      </c>
      <c r="E258" s="268"/>
      <c r="F258" s="271">
        <v>18507.2</v>
      </c>
      <c r="G258" s="273"/>
    </row>
    <row r="259" spans="1:7" ht="18.75" customHeight="1" x14ac:dyDescent="0.3">
      <c r="A259" s="258" t="s">
        <v>410</v>
      </c>
      <c r="B259" s="259"/>
      <c r="C259" s="260"/>
      <c r="D259" s="267">
        <v>2</v>
      </c>
      <c r="E259" s="268"/>
      <c r="F259" s="271">
        <v>69402</v>
      </c>
      <c r="G259" s="273"/>
    </row>
    <row r="260" spans="1:7" ht="18.75" customHeight="1" x14ac:dyDescent="0.3">
      <c r="A260" s="258" t="s">
        <v>347</v>
      </c>
      <c r="B260" s="259"/>
      <c r="C260" s="260"/>
      <c r="D260" s="267">
        <v>1</v>
      </c>
      <c r="E260" s="268"/>
      <c r="F260" s="271">
        <v>107573.1</v>
      </c>
      <c r="G260" s="273"/>
    </row>
    <row r="261" spans="1:7" ht="57.75" customHeight="1" x14ac:dyDescent="0.3">
      <c r="A261" s="258" t="s">
        <v>430</v>
      </c>
      <c r="B261" s="259"/>
      <c r="C261" s="260"/>
      <c r="D261" s="267">
        <v>1</v>
      </c>
      <c r="E261" s="268"/>
      <c r="F261" s="271">
        <f>28917.5+32276.76</f>
        <v>61194.259999999995</v>
      </c>
      <c r="G261" s="273"/>
    </row>
    <row r="262" spans="1:7" ht="18.75" x14ac:dyDescent="0.3">
      <c r="A262" s="258" t="s">
        <v>146</v>
      </c>
      <c r="B262" s="259"/>
      <c r="C262" s="260"/>
      <c r="D262" s="289"/>
      <c r="E262" s="290"/>
      <c r="F262" s="271">
        <f>'гос.задание на 2024-2025 год '!D58</f>
        <v>6825455.9199999999</v>
      </c>
      <c r="G262" s="273"/>
    </row>
    <row r="263" spans="1:7" ht="18.75" x14ac:dyDescent="0.25">
      <c r="A263" s="8"/>
    </row>
    <row r="264" spans="1:7" ht="18.75" x14ac:dyDescent="0.25">
      <c r="A264" s="280" t="s">
        <v>222</v>
      </c>
      <c r="B264" s="280"/>
      <c r="C264" s="280"/>
      <c r="D264" s="280"/>
      <c r="E264" s="280"/>
      <c r="F264" s="280"/>
      <c r="G264" s="280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3" t="s">
        <v>86</v>
      </c>
      <c r="B268" s="264"/>
      <c r="C268" s="263" t="s">
        <v>137</v>
      </c>
      <c r="D268" s="264"/>
      <c r="E268" s="263" t="s">
        <v>138</v>
      </c>
      <c r="F268" s="292"/>
      <c r="G268" s="264"/>
    </row>
    <row r="269" spans="1:7" ht="18.75" x14ac:dyDescent="0.3">
      <c r="A269" s="263">
        <v>1</v>
      </c>
      <c r="B269" s="264"/>
      <c r="C269" s="263">
        <v>2</v>
      </c>
      <c r="D269" s="264"/>
      <c r="E269" s="254">
        <v>3</v>
      </c>
      <c r="F269" s="291"/>
      <c r="G269" s="255"/>
    </row>
    <row r="270" spans="1:7" ht="18.75" x14ac:dyDescent="0.3">
      <c r="A270" s="258" t="s">
        <v>25</v>
      </c>
      <c r="B270" s="260"/>
      <c r="C270" s="263">
        <v>1</v>
      </c>
      <c r="D270" s="264"/>
      <c r="E270" s="271">
        <f>'гос.задание на 2024-2025 год '!D60</f>
        <v>5067.62</v>
      </c>
      <c r="F270" s="272"/>
      <c r="G270" s="273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8" t="s">
        <v>225</v>
      </c>
      <c r="B273" s="288"/>
      <c r="C273" s="288"/>
      <c r="D273" s="288"/>
      <c r="E273" s="288"/>
      <c r="F273" s="288"/>
      <c r="G273" s="288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81" t="s">
        <v>142</v>
      </c>
      <c r="C277" s="281"/>
      <c r="D277" s="281" t="s">
        <v>143</v>
      </c>
      <c r="E277" s="281"/>
      <c r="F277" s="281" t="s">
        <v>150</v>
      </c>
      <c r="G277" s="281"/>
    </row>
    <row r="278" spans="1:7" ht="18.75" x14ac:dyDescent="0.25">
      <c r="A278" s="106">
        <v>1</v>
      </c>
      <c r="B278" s="263">
        <v>2</v>
      </c>
      <c r="C278" s="264"/>
      <c r="D278" s="263">
        <v>3</v>
      </c>
      <c r="E278" s="264"/>
      <c r="F278" s="263">
        <v>4</v>
      </c>
      <c r="G278" s="264"/>
    </row>
    <row r="279" spans="1:7" ht="18.75" x14ac:dyDescent="0.25">
      <c r="A279" s="13"/>
      <c r="B279" s="293"/>
      <c r="C279" s="294"/>
      <c r="D279" s="293"/>
      <c r="E279" s="294"/>
      <c r="F279" s="340"/>
      <c r="G279" s="341"/>
    </row>
    <row r="280" spans="1:7" ht="18.75" x14ac:dyDescent="0.25">
      <c r="A280" s="13" t="s">
        <v>237</v>
      </c>
      <c r="B280" s="263"/>
      <c r="C280" s="264"/>
      <c r="D280" s="261"/>
      <c r="E280" s="262"/>
      <c r="F280" s="261">
        <f>'гос.задание на 2024-2025 год '!D99</f>
        <v>0</v>
      </c>
      <c r="G280" s="262"/>
    </row>
    <row r="281" spans="1:7" ht="18.75" x14ac:dyDescent="0.25">
      <c r="A281" s="13"/>
      <c r="B281" s="263"/>
      <c r="C281" s="264"/>
      <c r="D281" s="261"/>
      <c r="E281" s="262"/>
      <c r="F281" s="261"/>
      <c r="G281" s="262"/>
    </row>
    <row r="282" spans="1:7" ht="18.75" x14ac:dyDescent="0.25">
      <c r="A282" s="13" t="s">
        <v>238</v>
      </c>
      <c r="B282" s="263"/>
      <c r="C282" s="264"/>
      <c r="D282" s="261"/>
      <c r="E282" s="262"/>
      <c r="F282" s="261">
        <f>'гос.задание на 2024-2025 год '!D100</f>
        <v>0</v>
      </c>
      <c r="G282" s="262"/>
    </row>
    <row r="283" spans="1:7" ht="18.75" x14ac:dyDescent="0.25">
      <c r="A283" s="13"/>
      <c r="B283" s="263"/>
      <c r="C283" s="264"/>
      <c r="D283" s="261"/>
      <c r="E283" s="262"/>
      <c r="F283" s="261"/>
      <c r="G283" s="262"/>
    </row>
    <row r="284" spans="1:7" ht="18.75" x14ac:dyDescent="0.25">
      <c r="A284" s="13" t="s">
        <v>239</v>
      </c>
      <c r="B284" s="263"/>
      <c r="C284" s="264"/>
      <c r="D284" s="261"/>
      <c r="E284" s="262"/>
      <c r="F284" s="261">
        <f>'гос.задание на 2024-2025 год '!D101</f>
        <v>290000</v>
      </c>
      <c r="G284" s="262"/>
    </row>
    <row r="285" spans="1:7" ht="18.75" x14ac:dyDescent="0.25">
      <c r="A285" s="13" t="s">
        <v>296</v>
      </c>
      <c r="B285" s="263">
        <v>5370.37</v>
      </c>
      <c r="C285" s="264"/>
      <c r="D285" s="261">
        <v>54</v>
      </c>
      <c r="E285" s="262"/>
      <c r="F285" s="261">
        <v>290000</v>
      </c>
      <c r="G285" s="262"/>
    </row>
    <row r="286" spans="1:7" ht="18.75" x14ac:dyDescent="0.25">
      <c r="A286" s="13" t="s">
        <v>240</v>
      </c>
      <c r="B286" s="263"/>
      <c r="C286" s="264"/>
      <c r="D286" s="261"/>
      <c r="E286" s="262"/>
      <c r="F286" s="261">
        <f>'гос.задание на 2024-2025 год '!D102</f>
        <v>200000</v>
      </c>
      <c r="G286" s="262"/>
    </row>
    <row r="287" spans="1:7" ht="18.75" x14ac:dyDescent="0.25">
      <c r="A287" s="13" t="s">
        <v>297</v>
      </c>
      <c r="B287" s="263">
        <v>4000</v>
      </c>
      <c r="C287" s="264"/>
      <c r="D287" s="261">
        <v>50</v>
      </c>
      <c r="E287" s="262"/>
      <c r="F287" s="261">
        <v>200000</v>
      </c>
      <c r="G287" s="262"/>
    </row>
    <row r="288" spans="1:7" ht="18.75" x14ac:dyDescent="0.25">
      <c r="A288" s="13" t="s">
        <v>241</v>
      </c>
      <c r="B288" s="263"/>
      <c r="C288" s="264"/>
      <c r="D288" s="261"/>
      <c r="E288" s="262"/>
      <c r="F288" s="261">
        <f>'гос.задание на 2024-2025 год '!D103</f>
        <v>334245</v>
      </c>
      <c r="G288" s="262"/>
    </row>
    <row r="289" spans="1:7" ht="18.75" x14ac:dyDescent="0.25">
      <c r="A289" s="13" t="s">
        <v>298</v>
      </c>
      <c r="B289" s="263">
        <v>36</v>
      </c>
      <c r="C289" s="264"/>
      <c r="D289" s="261">
        <v>1666.67</v>
      </c>
      <c r="E289" s="262"/>
      <c r="F289" s="261">
        <v>60000</v>
      </c>
      <c r="G289" s="262"/>
    </row>
    <row r="290" spans="1:7" ht="18.75" x14ac:dyDescent="0.25">
      <c r="A290" s="13" t="s">
        <v>299</v>
      </c>
      <c r="B290" s="263">
        <v>20</v>
      </c>
      <c r="C290" s="264"/>
      <c r="D290" s="261">
        <v>4000</v>
      </c>
      <c r="E290" s="262"/>
      <c r="F290" s="261">
        <v>80000</v>
      </c>
      <c r="G290" s="262"/>
    </row>
    <row r="291" spans="1:7" ht="18.75" x14ac:dyDescent="0.25">
      <c r="A291" s="13" t="s">
        <v>300</v>
      </c>
      <c r="B291" s="263">
        <v>50</v>
      </c>
      <c r="C291" s="264"/>
      <c r="D291" s="261">
        <v>3884.9</v>
      </c>
      <c r="E291" s="262"/>
      <c r="F291" s="261">
        <v>194245</v>
      </c>
      <c r="G291" s="262"/>
    </row>
    <row r="292" spans="1:7" ht="18.75" x14ac:dyDescent="0.25">
      <c r="A292" s="13" t="s">
        <v>242</v>
      </c>
      <c r="B292" s="263"/>
      <c r="C292" s="264"/>
      <c r="D292" s="261"/>
      <c r="E292" s="262"/>
      <c r="F292" s="261">
        <f>'гос.задание на 2024-2025 год '!D104</f>
        <v>8428958.6199999992</v>
      </c>
      <c r="G292" s="262"/>
    </row>
    <row r="293" spans="1:7" ht="18.75" x14ac:dyDescent="0.25">
      <c r="A293" s="13" t="s">
        <v>377</v>
      </c>
      <c r="B293" s="265"/>
      <c r="C293" s="266"/>
      <c r="D293" s="261"/>
      <c r="E293" s="262"/>
      <c r="F293" s="261"/>
      <c r="G293" s="262"/>
    </row>
    <row r="294" spans="1:7" ht="18.75" x14ac:dyDescent="0.25">
      <c r="A294" s="13" t="s">
        <v>301</v>
      </c>
      <c r="B294" s="265">
        <v>1000</v>
      </c>
      <c r="C294" s="266"/>
      <c r="D294" s="261">
        <v>45</v>
      </c>
      <c r="E294" s="262"/>
      <c r="F294" s="261">
        <v>45000</v>
      </c>
      <c r="G294" s="262"/>
    </row>
    <row r="295" spans="1:7" ht="18.75" x14ac:dyDescent="0.25">
      <c r="A295" s="13" t="s">
        <v>302</v>
      </c>
      <c r="B295" s="265">
        <v>1999</v>
      </c>
      <c r="C295" s="266"/>
      <c r="D295" s="261">
        <v>22.9</v>
      </c>
      <c r="E295" s="262"/>
      <c r="F295" s="261">
        <v>45777.120000000003</v>
      </c>
      <c r="G295" s="262"/>
    </row>
    <row r="296" spans="1:7" ht="37.5" x14ac:dyDescent="0.25">
      <c r="A296" s="13" t="s">
        <v>303</v>
      </c>
      <c r="B296" s="265">
        <v>141</v>
      </c>
      <c r="C296" s="266"/>
      <c r="D296" s="261">
        <v>2593.62</v>
      </c>
      <c r="E296" s="262"/>
      <c r="F296" s="261">
        <f>45000+180700+140000</f>
        <v>365700</v>
      </c>
      <c r="G296" s="262"/>
    </row>
    <row r="297" spans="1:7" ht="18.75" x14ac:dyDescent="0.25">
      <c r="A297" s="13" t="s">
        <v>304</v>
      </c>
      <c r="B297" s="265">
        <v>200</v>
      </c>
      <c r="C297" s="266"/>
      <c r="D297" s="261">
        <v>1400</v>
      </c>
      <c r="E297" s="262"/>
      <c r="F297" s="261">
        <v>280000</v>
      </c>
      <c r="G297" s="262"/>
    </row>
    <row r="298" spans="1:7" ht="37.5" x14ac:dyDescent="0.25">
      <c r="A298" s="13" t="s">
        <v>305</v>
      </c>
      <c r="B298" s="265">
        <v>500</v>
      </c>
      <c r="C298" s="266"/>
      <c r="D298" s="261">
        <v>12350.16</v>
      </c>
      <c r="E298" s="262"/>
      <c r="F298" s="261">
        <v>6175081.5</v>
      </c>
      <c r="G298" s="262"/>
    </row>
    <row r="299" spans="1:7" ht="18.75" x14ac:dyDescent="0.25">
      <c r="A299" s="13" t="s">
        <v>378</v>
      </c>
      <c r="B299" s="265"/>
      <c r="C299" s="266"/>
      <c r="D299" s="261"/>
      <c r="E299" s="262"/>
      <c r="F299" s="261"/>
      <c r="G299" s="262"/>
    </row>
    <row r="300" spans="1:7" ht="18.75" x14ac:dyDescent="0.25">
      <c r="A300" s="13" t="s">
        <v>412</v>
      </c>
      <c r="B300" s="265">
        <v>1000</v>
      </c>
      <c r="C300" s="266"/>
      <c r="D300" s="261">
        <v>162.62</v>
      </c>
      <c r="E300" s="262"/>
      <c r="F300" s="261">
        <v>162620</v>
      </c>
      <c r="G300" s="262"/>
    </row>
    <row r="301" spans="1:7" ht="18.75" x14ac:dyDescent="0.25">
      <c r="A301" s="13" t="s">
        <v>413</v>
      </c>
      <c r="B301" s="265">
        <v>500</v>
      </c>
      <c r="C301" s="266"/>
      <c r="D301" s="261">
        <v>525.54</v>
      </c>
      <c r="E301" s="262"/>
      <c r="F301" s="261">
        <v>262770</v>
      </c>
      <c r="G301" s="262"/>
    </row>
    <row r="302" spans="1:7" ht="37.5" x14ac:dyDescent="0.25">
      <c r="A302" s="13" t="s">
        <v>414</v>
      </c>
      <c r="B302" s="265">
        <v>30</v>
      </c>
      <c r="C302" s="266"/>
      <c r="D302" s="261">
        <v>212.51</v>
      </c>
      <c r="E302" s="262"/>
      <c r="F302" s="261">
        <v>6375.3</v>
      </c>
      <c r="G302" s="262"/>
    </row>
    <row r="303" spans="1:7" ht="37.5" x14ac:dyDescent="0.25">
      <c r="A303" s="13" t="s">
        <v>432</v>
      </c>
      <c r="B303" s="265">
        <v>12</v>
      </c>
      <c r="C303" s="266"/>
      <c r="D303" s="261">
        <v>13858.18</v>
      </c>
      <c r="E303" s="262"/>
      <c r="F303" s="261">
        <v>166298.20000000001</v>
      </c>
      <c r="G303" s="262"/>
    </row>
    <row r="304" spans="1:7" ht="18.75" x14ac:dyDescent="0.25">
      <c r="A304" s="13" t="s">
        <v>416</v>
      </c>
      <c r="B304" s="265">
        <v>1000</v>
      </c>
      <c r="C304" s="266"/>
      <c r="D304" s="261">
        <v>8.31</v>
      </c>
      <c r="E304" s="262"/>
      <c r="F304" s="261">
        <v>8310</v>
      </c>
      <c r="G304" s="262"/>
    </row>
    <row r="305" spans="1:7" ht="18.75" x14ac:dyDescent="0.25">
      <c r="A305" s="13" t="s">
        <v>301</v>
      </c>
      <c r="B305" s="265">
        <v>1000</v>
      </c>
      <c r="C305" s="266"/>
      <c r="D305" s="261">
        <v>277.19</v>
      </c>
      <c r="E305" s="262"/>
      <c r="F305" s="261">
        <v>277190</v>
      </c>
      <c r="G305" s="262"/>
    </row>
    <row r="306" spans="1:7" ht="18.75" x14ac:dyDescent="0.25">
      <c r="A306" s="13" t="s">
        <v>417</v>
      </c>
      <c r="B306" s="265">
        <v>70</v>
      </c>
      <c r="C306" s="266"/>
      <c r="D306" s="261">
        <v>791.95</v>
      </c>
      <c r="E306" s="262"/>
      <c r="F306" s="261">
        <v>55436.5</v>
      </c>
      <c r="G306" s="262"/>
    </row>
    <row r="307" spans="1:7" ht="18.75" x14ac:dyDescent="0.25">
      <c r="A307" s="13" t="s">
        <v>302</v>
      </c>
      <c r="B307" s="265">
        <v>2000</v>
      </c>
      <c r="C307" s="266"/>
      <c r="D307" s="261">
        <v>132.13</v>
      </c>
      <c r="E307" s="262"/>
      <c r="F307" s="261">
        <v>264260</v>
      </c>
      <c r="G307" s="262"/>
    </row>
    <row r="308" spans="1:7" ht="37.5" x14ac:dyDescent="0.25">
      <c r="A308" s="13" t="s">
        <v>305</v>
      </c>
      <c r="B308" s="265">
        <v>80</v>
      </c>
      <c r="C308" s="266"/>
      <c r="D308" s="261">
        <v>3926.75</v>
      </c>
      <c r="E308" s="262"/>
      <c r="F308" s="261">
        <v>314140</v>
      </c>
      <c r="G308" s="262"/>
    </row>
    <row r="309" spans="1:7" ht="18.75" x14ac:dyDescent="0.25">
      <c r="A309" s="13" t="s">
        <v>243</v>
      </c>
      <c r="B309" s="263"/>
      <c r="C309" s="264"/>
      <c r="D309" s="261"/>
      <c r="E309" s="262"/>
      <c r="F309" s="261">
        <f>'гос.задание на 2024-2025 год '!D106</f>
        <v>148700</v>
      </c>
      <c r="G309" s="262"/>
    </row>
    <row r="310" spans="1:7" ht="37.5" x14ac:dyDescent="0.25">
      <c r="A310" s="13" t="s">
        <v>384</v>
      </c>
      <c r="B310" s="265">
        <v>100000</v>
      </c>
      <c r="C310" s="266"/>
      <c r="D310" s="261">
        <v>1.48</v>
      </c>
      <c r="E310" s="262"/>
      <c r="F310" s="261">
        <v>148700</v>
      </c>
      <c r="G310" s="262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7"/>
      <c r="D313" s="227"/>
      <c r="E313" s="10"/>
      <c r="F313" s="227" t="s">
        <v>478</v>
      </c>
      <c r="G313" s="227"/>
    </row>
    <row r="314" spans="1:7" ht="18.75" x14ac:dyDescent="0.3">
      <c r="A314" s="29"/>
      <c r="B314" s="10"/>
      <c r="C314" s="226" t="s">
        <v>53</v>
      </c>
      <c r="D314" s="226"/>
      <c r="E314" s="10"/>
      <c r="F314" s="226" t="s">
        <v>54</v>
      </c>
      <c r="G314" s="226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27"/>
      <c r="D316" s="227"/>
      <c r="E316" s="10"/>
      <c r="F316" s="227" t="s">
        <v>482</v>
      </c>
      <c r="G316" s="227"/>
    </row>
    <row r="317" spans="1:7" ht="18.75" x14ac:dyDescent="0.3">
      <c r="A317" s="29"/>
      <c r="B317" s="10"/>
      <c r="C317" s="226" t="s">
        <v>53</v>
      </c>
      <c r="D317" s="226"/>
      <c r="E317" s="10"/>
      <c r="F317" s="226" t="s">
        <v>54</v>
      </c>
      <c r="G317" s="226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27"/>
      <c r="D319" s="227"/>
      <c r="E319" s="10"/>
      <c r="F319" s="227" t="s">
        <v>482</v>
      </c>
      <c r="G319" s="227"/>
    </row>
    <row r="320" spans="1:7" ht="18.75" x14ac:dyDescent="0.3">
      <c r="A320" s="29"/>
      <c r="B320" s="10"/>
      <c r="C320" s="226" t="s">
        <v>53</v>
      </c>
      <c r="D320" s="226"/>
      <c r="E320" s="10"/>
      <c r="F320" s="226" t="s">
        <v>54</v>
      </c>
      <c r="G320" s="226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5" t="s">
        <v>44</v>
      </c>
      <c r="B322" s="225"/>
      <c r="C322" s="10"/>
      <c r="D322" s="10"/>
      <c r="E322" s="10"/>
      <c r="F322" s="10"/>
      <c r="G322" s="10"/>
    </row>
  </sheetData>
  <mergeCells count="476"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F250:G250"/>
    <mergeCell ref="A254:C254"/>
    <mergeCell ref="D254:E254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54:G254"/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305" zoomScaleNormal="85" zoomScaleSheetLayoutView="100" workbookViewId="0">
      <selection activeCell="C312" sqref="C312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23"/>
      <c r="F1" s="323"/>
      <c r="G1" s="323"/>
    </row>
    <row r="2" spans="1:11" ht="40.15" customHeight="1" x14ac:dyDescent="0.25">
      <c r="A2" s="295" t="s">
        <v>459</v>
      </c>
      <c r="B2" s="295"/>
      <c r="C2" s="295"/>
      <c r="D2" s="295"/>
      <c r="E2" s="295"/>
      <c r="F2" s="295"/>
      <c r="G2" s="295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95" t="s">
        <v>391</v>
      </c>
      <c r="B4" s="295"/>
      <c r="C4" s="295"/>
      <c r="D4" s="295"/>
      <c r="E4" s="295"/>
      <c r="F4" s="295"/>
      <c r="G4" s="295"/>
    </row>
    <row r="5" spans="1:11" ht="43.9" customHeight="1" x14ac:dyDescent="0.25">
      <c r="A5" s="295" t="s">
        <v>174</v>
      </c>
      <c r="B5" s="295"/>
      <c r="C5" s="295"/>
      <c r="D5" s="295"/>
      <c r="E5" s="295"/>
      <c r="F5" s="295"/>
      <c r="G5" s="295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81" t="s">
        <v>172</v>
      </c>
      <c r="C9" s="281"/>
      <c r="D9" s="281" t="s">
        <v>173</v>
      </c>
      <c r="E9" s="281"/>
      <c r="F9" s="281" t="s">
        <v>171</v>
      </c>
      <c r="G9" s="281"/>
      <c r="K9" s="81"/>
    </row>
    <row r="10" spans="1:11" ht="18.75" x14ac:dyDescent="0.25">
      <c r="A10" s="216">
        <v>1</v>
      </c>
      <c r="B10" s="281">
        <v>2</v>
      </c>
      <c r="C10" s="281"/>
      <c r="D10" s="281">
        <v>3</v>
      </c>
      <c r="E10" s="281"/>
      <c r="F10" s="281">
        <v>4</v>
      </c>
      <c r="G10" s="281"/>
    </row>
    <row r="11" spans="1:11" ht="56.25" x14ac:dyDescent="0.25">
      <c r="A11" s="13" t="s">
        <v>170</v>
      </c>
      <c r="B11" s="281" t="s">
        <v>117</v>
      </c>
      <c r="C11" s="281"/>
      <c r="D11" s="281" t="s">
        <v>117</v>
      </c>
      <c r="E11" s="281"/>
      <c r="F11" s="287">
        <f>'гос.задание на 2024-2025 год '!E12</f>
        <v>166149847.15000001</v>
      </c>
      <c r="G11" s="287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95" t="s">
        <v>392</v>
      </c>
      <c r="B13" s="295"/>
      <c r="C13" s="295"/>
      <c r="D13" s="295"/>
      <c r="E13" s="295"/>
      <c r="F13" s="295"/>
      <c r="G13" s="295"/>
    </row>
    <row r="14" spans="1:11" ht="18.75" x14ac:dyDescent="0.25">
      <c r="A14" s="8"/>
    </row>
    <row r="15" spans="1:11" ht="18.75" x14ac:dyDescent="0.25">
      <c r="A15" s="280" t="s">
        <v>189</v>
      </c>
      <c r="B15" s="280"/>
      <c r="C15" s="280"/>
      <c r="D15" s="280"/>
      <c r="E15" s="280"/>
      <c r="F15" s="280"/>
      <c r="G15" s="280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81" t="s">
        <v>76</v>
      </c>
      <c r="B19" s="281" t="s">
        <v>77</v>
      </c>
      <c r="C19" s="281" t="s">
        <v>78</v>
      </c>
      <c r="D19" s="281"/>
      <c r="E19" s="281"/>
      <c r="F19" s="281"/>
      <c r="G19" s="281" t="s">
        <v>79</v>
      </c>
    </row>
    <row r="20" spans="1:7" ht="18.75" x14ac:dyDescent="0.25">
      <c r="A20" s="281"/>
      <c r="B20" s="281"/>
      <c r="C20" s="281" t="s">
        <v>80</v>
      </c>
      <c r="D20" s="281" t="s">
        <v>6</v>
      </c>
      <c r="E20" s="281"/>
      <c r="F20" s="281"/>
      <c r="G20" s="281"/>
    </row>
    <row r="21" spans="1:7" ht="75" x14ac:dyDescent="0.25">
      <c r="A21" s="281"/>
      <c r="B21" s="281"/>
      <c r="C21" s="281"/>
      <c r="D21" s="12" t="s">
        <v>81</v>
      </c>
      <c r="E21" s="12" t="s">
        <v>82</v>
      </c>
      <c r="F21" s="12" t="s">
        <v>83</v>
      </c>
      <c r="G21" s="281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9" t="s">
        <v>354</v>
      </c>
      <c r="B32" s="300"/>
      <c r="C32" s="300"/>
      <c r="D32" s="300"/>
      <c r="E32" s="300"/>
      <c r="F32" s="300"/>
      <c r="G32" s="301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74" t="s">
        <v>312</v>
      </c>
      <c r="B39" s="275"/>
      <c r="C39" s="275"/>
      <c r="D39" s="275"/>
      <c r="E39" s="275"/>
      <c r="F39" s="275"/>
      <c r="G39" s="27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4" t="s">
        <v>314</v>
      </c>
      <c r="B43" s="275"/>
      <c r="C43" s="275"/>
      <c r="D43" s="275"/>
      <c r="E43" s="275"/>
      <c r="F43" s="275"/>
      <c r="G43" s="27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77" t="s">
        <v>317</v>
      </c>
      <c r="B48" s="278"/>
      <c r="C48" s="278"/>
      <c r="D48" s="278"/>
      <c r="E48" s="278"/>
      <c r="F48" s="278"/>
      <c r="G48" s="279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74" t="s">
        <v>322</v>
      </c>
      <c r="B57" s="275"/>
      <c r="C57" s="275"/>
      <c r="D57" s="275"/>
      <c r="E57" s="275"/>
      <c r="F57" s="275"/>
      <c r="G57" s="27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6" t="s">
        <v>325</v>
      </c>
      <c r="B61" s="297"/>
      <c r="C61" s="297"/>
      <c r="D61" s="297"/>
      <c r="E61" s="297"/>
      <c r="F61" s="297"/>
      <c r="G61" s="298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302" t="s">
        <v>350</v>
      </c>
      <c r="B72" s="303"/>
      <c r="C72" s="303"/>
      <c r="D72" s="303"/>
      <c r="E72" s="303"/>
      <c r="F72" s="303"/>
      <c r="G72" s="304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74" t="s">
        <v>314</v>
      </c>
      <c r="B81" s="275"/>
      <c r="C81" s="275"/>
      <c r="D81" s="275"/>
      <c r="E81" s="275"/>
      <c r="F81" s="275"/>
      <c r="G81" s="276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77" t="s">
        <v>317</v>
      </c>
      <c r="B87" s="278"/>
      <c r="C87" s="278"/>
      <c r="D87" s="278"/>
      <c r="E87" s="278"/>
      <c r="F87" s="278"/>
      <c r="G87" s="279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74" t="s">
        <v>322</v>
      </c>
      <c r="B99" s="275"/>
      <c r="C99" s="275"/>
      <c r="D99" s="275"/>
      <c r="E99" s="275"/>
      <c r="F99" s="275"/>
      <c r="G99" s="276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96" t="s">
        <v>325</v>
      </c>
      <c r="B104" s="297"/>
      <c r="C104" s="297"/>
      <c r="D104" s="297"/>
      <c r="E104" s="297"/>
      <c r="F104" s="297"/>
      <c r="G104" s="298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</row>
    <row r="115" spans="1:7" x14ac:dyDescent="0.25">
      <c r="A115" s="11"/>
    </row>
    <row r="116" spans="1:7" ht="15" customHeight="1" x14ac:dyDescent="0.25">
      <c r="A116" s="338" t="s">
        <v>84</v>
      </c>
      <c r="B116" s="312" t="s">
        <v>244</v>
      </c>
      <c r="C116" s="313"/>
      <c r="D116" s="312" t="s">
        <v>185</v>
      </c>
      <c r="E116" s="313"/>
      <c r="F116" s="312" t="s">
        <v>85</v>
      </c>
      <c r="G116" s="313"/>
    </row>
    <row r="117" spans="1:7" ht="36.75" customHeight="1" x14ac:dyDescent="0.25">
      <c r="A117" s="339"/>
      <c r="B117" s="314"/>
      <c r="C117" s="315"/>
      <c r="D117" s="314"/>
      <c r="E117" s="315"/>
      <c r="F117" s="314"/>
      <c r="G117" s="315"/>
    </row>
    <row r="118" spans="1:7" ht="18.75" x14ac:dyDescent="0.25">
      <c r="A118" s="216">
        <v>1</v>
      </c>
      <c r="B118" s="263">
        <v>2</v>
      </c>
      <c r="C118" s="264"/>
      <c r="D118" s="263">
        <v>3</v>
      </c>
      <c r="E118" s="264"/>
      <c r="F118" s="263">
        <v>4</v>
      </c>
      <c r="G118" s="264"/>
    </row>
    <row r="119" spans="1:7" ht="18.75" x14ac:dyDescent="0.25">
      <c r="A119" s="13">
        <v>131</v>
      </c>
      <c r="B119" s="261">
        <f>'гос.задание на 2024-2025 год '!D26+'гос.задание на 2024-2025 год '!D28+'гос.задание на 2024-2025 год '!D68</f>
        <v>62755100.890000001</v>
      </c>
      <c r="C119" s="262"/>
      <c r="D119" s="261">
        <f>'гос.задание на 2024-2025 год '!E26+'гос.задание на 2024-2025 год '!E68</f>
        <v>48210596.490000002</v>
      </c>
      <c r="E119" s="262"/>
      <c r="F119" s="261">
        <f>B119-D119</f>
        <v>14544504.399999999</v>
      </c>
      <c r="G119" s="262"/>
    </row>
    <row r="120" spans="1:7" ht="18.75" x14ac:dyDescent="0.25">
      <c r="A120" s="8"/>
    </row>
    <row r="121" spans="1:7" ht="43.5" customHeight="1" x14ac:dyDescent="0.25">
      <c r="A121" s="288" t="s">
        <v>203</v>
      </c>
      <c r="B121" s="288"/>
      <c r="C121" s="288"/>
      <c r="D121" s="288"/>
      <c r="E121" s="288"/>
      <c r="F121" s="288"/>
      <c r="G121" s="288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63" t="s">
        <v>88</v>
      </c>
      <c r="D125" s="264"/>
      <c r="E125" s="216" t="s">
        <v>89</v>
      </c>
      <c r="F125" s="263" t="s">
        <v>90</v>
      </c>
      <c r="G125" s="264"/>
    </row>
    <row r="126" spans="1:7" ht="18.75" x14ac:dyDescent="0.25">
      <c r="A126" s="216">
        <v>1</v>
      </c>
      <c r="B126" s="216">
        <v>2</v>
      </c>
      <c r="C126" s="263">
        <v>3</v>
      </c>
      <c r="D126" s="264"/>
      <c r="E126" s="216">
        <v>4</v>
      </c>
      <c r="F126" s="263">
        <v>5</v>
      </c>
      <c r="G126" s="264"/>
    </row>
    <row r="127" spans="1:7" ht="18.75" x14ac:dyDescent="0.25">
      <c r="A127" s="13" t="s">
        <v>91</v>
      </c>
      <c r="B127" s="216">
        <v>10</v>
      </c>
      <c r="C127" s="261">
        <v>100</v>
      </c>
      <c r="D127" s="262"/>
      <c r="E127" s="216">
        <v>8</v>
      </c>
      <c r="F127" s="261">
        <f>'гос.задание на 2024-2025 год '!D27</f>
        <v>8000</v>
      </c>
      <c r="G127" s="262"/>
    </row>
    <row r="128" spans="1:7" ht="18.75" x14ac:dyDescent="0.25">
      <c r="A128" s="8"/>
    </row>
    <row r="129" spans="1:7" ht="45" customHeight="1" x14ac:dyDescent="0.25">
      <c r="A129" s="288" t="s">
        <v>207</v>
      </c>
      <c r="B129" s="288"/>
      <c r="C129" s="288"/>
      <c r="D129" s="288"/>
      <c r="E129" s="288"/>
      <c r="F129" s="288"/>
      <c r="G129" s="288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81" t="s">
        <v>99</v>
      </c>
      <c r="C133" s="281"/>
      <c r="D133" s="281" t="s">
        <v>100</v>
      </c>
      <c r="E133" s="281"/>
      <c r="F133" s="281" t="s">
        <v>101</v>
      </c>
      <c r="G133" s="281"/>
    </row>
    <row r="134" spans="1:7" ht="18.75" x14ac:dyDescent="0.3">
      <c r="A134" s="216">
        <v>1</v>
      </c>
      <c r="B134" s="263">
        <v>2</v>
      </c>
      <c r="C134" s="264"/>
      <c r="D134" s="263">
        <v>3</v>
      </c>
      <c r="E134" s="264"/>
      <c r="F134" s="254">
        <v>4</v>
      </c>
      <c r="G134" s="255"/>
    </row>
    <row r="135" spans="1:7" ht="56.25" x14ac:dyDescent="0.25">
      <c r="A135" s="13" t="s">
        <v>102</v>
      </c>
      <c r="B135" s="263">
        <v>24</v>
      </c>
      <c r="C135" s="264"/>
      <c r="D135" s="263">
        <v>2083.33</v>
      </c>
      <c r="E135" s="264"/>
      <c r="F135" s="305">
        <f>'гос.задание на 2024-2025 год '!D68</f>
        <v>49999.92</v>
      </c>
      <c r="G135" s="306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8" t="s">
        <v>226</v>
      </c>
      <c r="B137" s="288"/>
      <c r="C137" s="288"/>
      <c r="D137" s="288"/>
      <c r="E137" s="288"/>
      <c r="F137" s="288"/>
      <c r="G137" s="288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63" t="s">
        <v>109</v>
      </c>
      <c r="C140" s="264"/>
      <c r="D140" s="263" t="s">
        <v>110</v>
      </c>
      <c r="E140" s="264"/>
      <c r="F140" s="263" t="s">
        <v>111</v>
      </c>
      <c r="G140" s="264"/>
    </row>
    <row r="141" spans="1:7" ht="18" customHeight="1" x14ac:dyDescent="0.25">
      <c r="A141" s="216">
        <v>1</v>
      </c>
      <c r="B141" s="263">
        <v>2</v>
      </c>
      <c r="C141" s="264"/>
      <c r="D141" s="293">
        <v>3</v>
      </c>
      <c r="E141" s="294"/>
      <c r="F141" s="293">
        <v>4</v>
      </c>
      <c r="G141" s="294"/>
    </row>
    <row r="142" spans="1:7" ht="18.75" x14ac:dyDescent="0.25">
      <c r="A142" s="13" t="s">
        <v>112</v>
      </c>
      <c r="B142" s="261">
        <v>328603772</v>
      </c>
      <c r="C142" s="262"/>
      <c r="D142" s="261">
        <v>2.2000000000000002</v>
      </c>
      <c r="E142" s="262"/>
      <c r="F142" s="283">
        <f>'гос.задание на 2024-2025 год '!D75</f>
        <v>16863243.380000003</v>
      </c>
      <c r="G142" s="284"/>
    </row>
    <row r="143" spans="1:7" ht="18.75" x14ac:dyDescent="0.25">
      <c r="A143" s="13" t="s">
        <v>113</v>
      </c>
      <c r="B143" s="261">
        <v>642264025</v>
      </c>
      <c r="C143" s="262"/>
      <c r="D143" s="261">
        <v>1.5</v>
      </c>
      <c r="E143" s="262"/>
      <c r="F143" s="285"/>
      <c r="G143" s="286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81" t="s">
        <v>109</v>
      </c>
      <c r="C147" s="281"/>
      <c r="D147" s="281" t="s">
        <v>110</v>
      </c>
      <c r="E147" s="281"/>
      <c r="F147" s="281" t="s">
        <v>115</v>
      </c>
      <c r="G147" s="281"/>
    </row>
    <row r="148" spans="1:7" ht="18" customHeight="1" x14ac:dyDescent="0.3">
      <c r="A148" s="216">
        <v>1</v>
      </c>
      <c r="B148" s="263">
        <v>2</v>
      </c>
      <c r="C148" s="264"/>
      <c r="D148" s="263">
        <v>3</v>
      </c>
      <c r="E148" s="264"/>
      <c r="F148" s="254">
        <v>4</v>
      </c>
      <c r="G148" s="255"/>
    </row>
    <row r="149" spans="1:7" ht="18.75" x14ac:dyDescent="0.25">
      <c r="A149" s="13" t="s">
        <v>116</v>
      </c>
      <c r="B149" s="263" t="s">
        <v>117</v>
      </c>
      <c r="C149" s="264"/>
      <c r="D149" s="263" t="s">
        <v>117</v>
      </c>
      <c r="E149" s="264"/>
      <c r="F149" s="305">
        <f>'гос.задание на 2024-2025 год '!D76</f>
        <v>51650</v>
      </c>
      <c r="G149" s="307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81" t="s">
        <v>109</v>
      </c>
      <c r="C153" s="281"/>
      <c r="D153" s="281" t="s">
        <v>110</v>
      </c>
      <c r="E153" s="281"/>
      <c r="F153" s="281" t="s">
        <v>115</v>
      </c>
      <c r="G153" s="281"/>
    </row>
    <row r="154" spans="1:7" ht="18.75" x14ac:dyDescent="0.3">
      <c r="A154" s="216">
        <v>1</v>
      </c>
      <c r="B154" s="263">
        <v>2</v>
      </c>
      <c r="C154" s="264"/>
      <c r="D154" s="263">
        <v>3</v>
      </c>
      <c r="E154" s="264"/>
      <c r="F154" s="254">
        <v>4</v>
      </c>
      <c r="G154" s="255"/>
    </row>
    <row r="155" spans="1:7" ht="37.5" x14ac:dyDescent="0.25">
      <c r="A155" s="13" t="s">
        <v>155</v>
      </c>
      <c r="B155" s="263" t="s">
        <v>117</v>
      </c>
      <c r="C155" s="264"/>
      <c r="D155" s="263" t="s">
        <v>117</v>
      </c>
      <c r="E155" s="264"/>
      <c r="F155" s="305">
        <f>'гос.задание на 2024-2025 год '!D77</f>
        <v>0</v>
      </c>
      <c r="G155" s="306"/>
    </row>
    <row r="156" spans="1:7" ht="18.75" x14ac:dyDescent="0.25">
      <c r="A156" s="8"/>
    </row>
    <row r="157" spans="1:7" ht="18.75" x14ac:dyDescent="0.25">
      <c r="A157" s="280" t="s">
        <v>216</v>
      </c>
      <c r="B157" s="280"/>
      <c r="C157" s="280"/>
      <c r="D157" s="280"/>
      <c r="E157" s="280"/>
      <c r="F157" s="280"/>
      <c r="G157" s="280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81" t="s">
        <v>121</v>
      </c>
      <c r="C161" s="281"/>
      <c r="D161" s="281" t="s">
        <v>122</v>
      </c>
      <c r="E161" s="281"/>
      <c r="F161" s="281" t="s">
        <v>186</v>
      </c>
      <c r="G161" s="281"/>
    </row>
    <row r="162" spans="1:7" ht="18.75" x14ac:dyDescent="0.25">
      <c r="A162" s="216">
        <v>1</v>
      </c>
      <c r="B162" s="263">
        <v>2</v>
      </c>
      <c r="C162" s="264"/>
      <c r="D162" s="263">
        <v>3</v>
      </c>
      <c r="E162" s="264"/>
      <c r="F162" s="293">
        <v>4</v>
      </c>
      <c r="G162" s="294"/>
    </row>
    <row r="163" spans="1:7" ht="37.5" x14ac:dyDescent="0.25">
      <c r="A163" s="13" t="s">
        <v>366</v>
      </c>
      <c r="B163" s="263">
        <v>7</v>
      </c>
      <c r="C163" s="264"/>
      <c r="D163" s="261">
        <v>1000</v>
      </c>
      <c r="E163" s="262"/>
      <c r="F163" s="261">
        <f>B163*D163*12</f>
        <v>84000</v>
      </c>
      <c r="G163" s="262"/>
    </row>
    <row r="164" spans="1:7" ht="18.75" x14ac:dyDescent="0.25">
      <c r="A164" s="13" t="s">
        <v>367</v>
      </c>
      <c r="B164" s="263">
        <v>6</v>
      </c>
      <c r="C164" s="264"/>
      <c r="D164" s="261">
        <v>1000</v>
      </c>
      <c r="E164" s="262"/>
      <c r="F164" s="261">
        <f>B164*D164*12</f>
        <v>72000</v>
      </c>
      <c r="G164" s="262"/>
    </row>
    <row r="165" spans="1:7" ht="18.75" x14ac:dyDescent="0.25">
      <c r="A165" s="13" t="s">
        <v>422</v>
      </c>
      <c r="B165" s="263" t="s">
        <v>117</v>
      </c>
      <c r="C165" s="264"/>
      <c r="D165" s="263" t="s">
        <v>117</v>
      </c>
      <c r="E165" s="264"/>
      <c r="F165" s="261">
        <v>2000</v>
      </c>
      <c r="G165" s="262"/>
    </row>
    <row r="166" spans="1:7" ht="18.75" customHeight="1" x14ac:dyDescent="0.25">
      <c r="A166" s="13" t="s">
        <v>418</v>
      </c>
      <c r="B166" s="263" t="s">
        <v>117</v>
      </c>
      <c r="C166" s="264"/>
      <c r="D166" s="263" t="s">
        <v>117</v>
      </c>
      <c r="E166" s="264"/>
      <c r="F166" s="261">
        <v>2040</v>
      </c>
      <c r="G166" s="262"/>
    </row>
    <row r="167" spans="1:7" ht="18.75" customHeight="1" x14ac:dyDescent="0.25">
      <c r="A167" s="13" t="s">
        <v>368</v>
      </c>
      <c r="B167" s="263" t="s">
        <v>274</v>
      </c>
      <c r="C167" s="264"/>
      <c r="D167" s="261">
        <v>92350</v>
      </c>
      <c r="E167" s="262"/>
      <c r="F167" s="261">
        <f>D167*12</f>
        <v>1108200</v>
      </c>
      <c r="G167" s="262"/>
    </row>
    <row r="168" spans="1:7" ht="18.75" x14ac:dyDescent="0.25">
      <c r="A168" s="13" t="s">
        <v>369</v>
      </c>
      <c r="B168" s="263" t="s">
        <v>274</v>
      </c>
      <c r="C168" s="264"/>
      <c r="D168" s="261">
        <v>92450</v>
      </c>
      <c r="E168" s="262"/>
      <c r="F168" s="261">
        <f>D168*12</f>
        <v>1109400</v>
      </c>
      <c r="G168" s="262"/>
    </row>
    <row r="169" spans="1:7" ht="18.75" x14ac:dyDescent="0.25">
      <c r="A169" s="13" t="s">
        <v>339</v>
      </c>
      <c r="B169" s="293"/>
      <c r="C169" s="294"/>
      <c r="D169" s="293"/>
      <c r="E169" s="294"/>
      <c r="F169" s="261">
        <f>'гос.задание на 2024-2025 год '!D34</f>
        <v>2377640</v>
      </c>
      <c r="G169" s="262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80" t="s">
        <v>218</v>
      </c>
      <c r="B171" s="280"/>
      <c r="C171" s="280"/>
      <c r="D171" s="280"/>
      <c r="E171" s="280"/>
      <c r="F171" s="280"/>
      <c r="G171" s="280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81" t="s">
        <v>126</v>
      </c>
      <c r="C175" s="281"/>
      <c r="D175" s="281" t="s">
        <v>127</v>
      </c>
      <c r="E175" s="281"/>
      <c r="F175" s="281" t="s">
        <v>94</v>
      </c>
      <c r="G175" s="281"/>
    </row>
    <row r="176" spans="1:7" ht="18.75" x14ac:dyDescent="0.25">
      <c r="A176" s="216">
        <v>1</v>
      </c>
      <c r="B176" s="263">
        <v>2</v>
      </c>
      <c r="C176" s="264"/>
      <c r="D176" s="263">
        <v>3</v>
      </c>
      <c r="E176" s="264"/>
      <c r="F176" s="263">
        <v>4</v>
      </c>
      <c r="G176" s="264"/>
    </row>
    <row r="177" spans="1:7" ht="37.5" x14ac:dyDescent="0.25">
      <c r="A177" s="13" t="s">
        <v>18</v>
      </c>
      <c r="B177" s="263" t="s">
        <v>117</v>
      </c>
      <c r="C177" s="264"/>
      <c r="D177" s="263" t="s">
        <v>117</v>
      </c>
      <c r="E177" s="264"/>
      <c r="F177" s="261">
        <f>'гос.задание на 2024-2025 год '!D41</f>
        <v>0</v>
      </c>
      <c r="G177" s="262"/>
    </row>
    <row r="178" spans="1:7" ht="37.5" x14ac:dyDescent="0.25">
      <c r="A178" s="13" t="s">
        <v>385</v>
      </c>
      <c r="B178" s="263" t="s">
        <v>387</v>
      </c>
      <c r="C178" s="264"/>
      <c r="D178" s="263">
        <v>6119.41</v>
      </c>
      <c r="E178" s="264"/>
      <c r="F178" s="283">
        <f>'гос.задание на 2024-2025 год '!D43</f>
        <v>3771002.76</v>
      </c>
      <c r="G178" s="284"/>
    </row>
    <row r="179" spans="1:7" ht="37.5" x14ac:dyDescent="0.25">
      <c r="A179" s="13" t="s">
        <v>386</v>
      </c>
      <c r="B179" s="263" t="s">
        <v>419</v>
      </c>
      <c r="C179" s="264"/>
      <c r="D179" s="263">
        <v>7.34</v>
      </c>
      <c r="E179" s="264"/>
      <c r="F179" s="285"/>
      <c r="G179" s="286"/>
    </row>
    <row r="180" spans="1:7" ht="56.25" x14ac:dyDescent="0.25">
      <c r="A180" s="13" t="s">
        <v>370</v>
      </c>
      <c r="B180" s="263" t="s">
        <v>388</v>
      </c>
      <c r="C180" s="264"/>
      <c r="D180" s="263">
        <v>5.46</v>
      </c>
      <c r="E180" s="264"/>
      <c r="F180" s="283">
        <f>'гос.задание на 2024-2025 год '!D45</f>
        <v>26347822.98</v>
      </c>
      <c r="G180" s="284"/>
    </row>
    <row r="181" spans="1:7" ht="56.25" x14ac:dyDescent="0.25">
      <c r="A181" s="13" t="s">
        <v>371</v>
      </c>
      <c r="B181" s="263" t="s">
        <v>420</v>
      </c>
      <c r="C181" s="264"/>
      <c r="D181" s="263">
        <v>1127.17</v>
      </c>
      <c r="E181" s="264"/>
      <c r="F181" s="285"/>
      <c r="G181" s="286"/>
    </row>
    <row r="182" spans="1:7" ht="56.25" x14ac:dyDescent="0.25">
      <c r="A182" s="13" t="s">
        <v>373</v>
      </c>
      <c r="B182" s="263" t="s">
        <v>389</v>
      </c>
      <c r="C182" s="264"/>
      <c r="D182" s="263">
        <v>64.430000000000007</v>
      </c>
      <c r="E182" s="264"/>
      <c r="F182" s="283">
        <f>'гос.задание на 2024-2025 год '!D46</f>
        <v>6836281.71</v>
      </c>
      <c r="G182" s="284"/>
    </row>
    <row r="183" spans="1:7" ht="56.25" x14ac:dyDescent="0.25">
      <c r="A183" s="13" t="s">
        <v>374</v>
      </c>
      <c r="B183" s="263" t="s">
        <v>421</v>
      </c>
      <c r="C183" s="264"/>
      <c r="D183" s="263">
        <v>100.33</v>
      </c>
      <c r="E183" s="264"/>
      <c r="F183" s="285"/>
      <c r="G183" s="286"/>
    </row>
    <row r="184" spans="1:7" ht="37.5" x14ac:dyDescent="0.25">
      <c r="A184" s="24" t="s">
        <v>375</v>
      </c>
      <c r="B184" s="263" t="s">
        <v>390</v>
      </c>
      <c r="C184" s="264"/>
      <c r="D184" s="263">
        <v>702.49</v>
      </c>
      <c r="E184" s="264"/>
      <c r="F184" s="283">
        <f>'гос.задание на 2024-2025 год '!D47</f>
        <v>619677.14</v>
      </c>
      <c r="G184" s="284"/>
    </row>
    <row r="185" spans="1:7" ht="37.5" x14ac:dyDescent="0.25">
      <c r="A185" s="24" t="s">
        <v>376</v>
      </c>
      <c r="B185" s="263" t="s">
        <v>411</v>
      </c>
      <c r="C185" s="264"/>
      <c r="D185" s="263">
        <v>668.99</v>
      </c>
      <c r="E185" s="264"/>
      <c r="F185" s="285"/>
      <c r="G185" s="286"/>
    </row>
    <row r="186" spans="1:7" ht="18.75" x14ac:dyDescent="0.25">
      <c r="A186" s="24" t="s">
        <v>146</v>
      </c>
      <c r="B186" s="263"/>
      <c r="C186" s="264"/>
      <c r="D186" s="263"/>
      <c r="E186" s="264"/>
      <c r="F186" s="261">
        <f>F177+F178+F180+F182+F184</f>
        <v>37574784.590000004</v>
      </c>
      <c r="G186" s="262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82" t="s">
        <v>220</v>
      </c>
      <c r="B188" s="282"/>
      <c r="C188" s="282"/>
      <c r="D188" s="282"/>
      <c r="E188" s="282"/>
      <c r="F188" s="282"/>
      <c r="G188" s="282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63" t="s">
        <v>86</v>
      </c>
      <c r="B192" s="292"/>
      <c r="C192" s="264"/>
      <c r="D192" s="281" t="s">
        <v>131</v>
      </c>
      <c r="E192" s="281"/>
      <c r="F192" s="281" t="s">
        <v>132</v>
      </c>
      <c r="G192" s="281"/>
    </row>
    <row r="193" spans="1:7" ht="18.75" x14ac:dyDescent="0.3">
      <c r="A193" s="263">
        <v>1</v>
      </c>
      <c r="B193" s="292"/>
      <c r="C193" s="264"/>
      <c r="D193" s="254">
        <v>2</v>
      </c>
      <c r="E193" s="255"/>
      <c r="F193" s="254">
        <v>3</v>
      </c>
      <c r="G193" s="255"/>
    </row>
    <row r="194" spans="1:7" ht="18.75" x14ac:dyDescent="0.3">
      <c r="A194" s="258" t="s">
        <v>377</v>
      </c>
      <c r="B194" s="259"/>
      <c r="C194" s="260"/>
      <c r="D194" s="254"/>
      <c r="E194" s="255"/>
      <c r="F194" s="271"/>
      <c r="G194" s="273"/>
    </row>
    <row r="195" spans="1:7" ht="18.75" customHeight="1" x14ac:dyDescent="0.3">
      <c r="A195" s="258" t="s">
        <v>275</v>
      </c>
      <c r="B195" s="259"/>
      <c r="C195" s="260"/>
      <c r="D195" s="254">
        <v>12</v>
      </c>
      <c r="E195" s="255"/>
      <c r="F195" s="271">
        <f>258945</f>
        <v>258945</v>
      </c>
      <c r="G195" s="273"/>
    </row>
    <row r="196" spans="1:7" ht="18.75" customHeight="1" x14ac:dyDescent="0.3">
      <c r="A196" s="258" t="s">
        <v>276</v>
      </c>
      <c r="B196" s="259"/>
      <c r="C196" s="260"/>
      <c r="D196" s="254">
        <v>12</v>
      </c>
      <c r="E196" s="255"/>
      <c r="F196" s="271">
        <f>34500*12</f>
        <v>414000</v>
      </c>
      <c r="G196" s="273"/>
    </row>
    <row r="197" spans="1:7" ht="18.75" customHeight="1" x14ac:dyDescent="0.3">
      <c r="A197" s="258" t="s">
        <v>277</v>
      </c>
      <c r="B197" s="259"/>
      <c r="C197" s="260"/>
      <c r="D197" s="254">
        <v>12</v>
      </c>
      <c r="E197" s="255"/>
      <c r="F197" s="271">
        <f>144400</f>
        <v>144400</v>
      </c>
      <c r="G197" s="273"/>
    </row>
    <row r="198" spans="1:7" ht="18.75" customHeight="1" x14ac:dyDescent="0.3">
      <c r="A198" s="258" t="s">
        <v>279</v>
      </c>
      <c r="B198" s="259"/>
      <c r="C198" s="260"/>
      <c r="D198" s="254">
        <v>12</v>
      </c>
      <c r="E198" s="255"/>
      <c r="F198" s="271">
        <f>265454.52</f>
        <v>265454.52</v>
      </c>
      <c r="G198" s="273"/>
    </row>
    <row r="199" spans="1:7" ht="18.75" x14ac:dyDescent="0.3">
      <c r="A199" s="258" t="s">
        <v>278</v>
      </c>
      <c r="B199" s="259"/>
      <c r="C199" s="260"/>
      <c r="D199" s="254">
        <v>7</v>
      </c>
      <c r="E199" s="255"/>
      <c r="F199" s="271">
        <f>69580</f>
        <v>69580</v>
      </c>
      <c r="G199" s="273"/>
    </row>
    <row r="200" spans="1:7" ht="18.75" customHeight="1" x14ac:dyDescent="0.3">
      <c r="A200" s="258" t="s">
        <v>280</v>
      </c>
      <c r="B200" s="259"/>
      <c r="C200" s="260"/>
      <c r="D200" s="254">
        <v>12</v>
      </c>
      <c r="E200" s="255"/>
      <c r="F200" s="271">
        <f>4457.75</f>
        <v>4457.75</v>
      </c>
      <c r="G200" s="273"/>
    </row>
    <row r="201" spans="1:7" ht="18.75" customHeight="1" x14ac:dyDescent="0.3">
      <c r="A201" s="258" t="s">
        <v>281</v>
      </c>
      <c r="B201" s="259"/>
      <c r="C201" s="260"/>
      <c r="D201" s="254">
        <v>12</v>
      </c>
      <c r="E201" s="255"/>
      <c r="F201" s="271">
        <f>18700</f>
        <v>18700</v>
      </c>
      <c r="G201" s="273"/>
    </row>
    <row r="202" spans="1:7" ht="38.25" customHeight="1" x14ac:dyDescent="0.3">
      <c r="A202" s="258" t="s">
        <v>282</v>
      </c>
      <c r="B202" s="259"/>
      <c r="C202" s="260"/>
      <c r="D202" s="254">
        <v>12</v>
      </c>
      <c r="E202" s="255"/>
      <c r="F202" s="271">
        <f>180000</f>
        <v>180000</v>
      </c>
      <c r="G202" s="273"/>
    </row>
    <row r="203" spans="1:7" ht="18.75" customHeight="1" x14ac:dyDescent="0.3">
      <c r="A203" s="258" t="s">
        <v>283</v>
      </c>
      <c r="B203" s="259"/>
      <c r="C203" s="260"/>
      <c r="D203" s="254">
        <v>12</v>
      </c>
      <c r="E203" s="255"/>
      <c r="F203" s="271">
        <f>330909.12</f>
        <v>330909.12</v>
      </c>
      <c r="G203" s="273"/>
    </row>
    <row r="204" spans="1:7" ht="18.75" customHeight="1" x14ac:dyDescent="0.3">
      <c r="A204" s="258" t="s">
        <v>284</v>
      </c>
      <c r="B204" s="259"/>
      <c r="C204" s="260"/>
      <c r="D204" s="254">
        <v>12</v>
      </c>
      <c r="E204" s="255"/>
      <c r="F204" s="271">
        <f>6000</f>
        <v>6000</v>
      </c>
      <c r="G204" s="273"/>
    </row>
    <row r="205" spans="1:7" ht="37.5" customHeight="1" x14ac:dyDescent="0.3">
      <c r="A205" s="258" t="s">
        <v>136</v>
      </c>
      <c r="B205" s="259"/>
      <c r="C205" s="260"/>
      <c r="D205" s="254">
        <v>2</v>
      </c>
      <c r="E205" s="255"/>
      <c r="F205" s="271">
        <v>50000</v>
      </c>
      <c r="G205" s="273"/>
    </row>
    <row r="206" spans="1:7" ht="18.75" customHeight="1" x14ac:dyDescent="0.3">
      <c r="A206" s="258" t="s">
        <v>285</v>
      </c>
      <c r="B206" s="259"/>
      <c r="C206" s="260"/>
      <c r="D206" s="254">
        <v>12</v>
      </c>
      <c r="E206" s="255"/>
      <c r="F206" s="271">
        <f>7200</f>
        <v>7200</v>
      </c>
      <c r="G206" s="273"/>
    </row>
    <row r="207" spans="1:7" ht="18.75" customHeight="1" x14ac:dyDescent="0.3">
      <c r="A207" s="258" t="s">
        <v>379</v>
      </c>
      <c r="B207" s="259"/>
      <c r="C207" s="260"/>
      <c r="D207" s="254">
        <v>12</v>
      </c>
      <c r="E207" s="255"/>
      <c r="F207" s="271">
        <v>95440</v>
      </c>
      <c r="G207" s="273"/>
    </row>
    <row r="208" spans="1:7" ht="18.75" customHeight="1" x14ac:dyDescent="0.3">
      <c r="A208" s="258" t="s">
        <v>380</v>
      </c>
      <c r="B208" s="259"/>
      <c r="C208" s="260"/>
      <c r="D208" s="254">
        <v>1</v>
      </c>
      <c r="E208" s="255"/>
      <c r="F208" s="271">
        <v>917800</v>
      </c>
      <c r="G208" s="273"/>
    </row>
    <row r="209" spans="1:7" ht="18.75" x14ac:dyDescent="0.3">
      <c r="A209" s="258" t="s">
        <v>291</v>
      </c>
      <c r="B209" s="259"/>
      <c r="C209" s="260"/>
      <c r="D209" s="254">
        <v>1</v>
      </c>
      <c r="E209" s="255"/>
      <c r="F209" s="271">
        <f>569060.67</f>
        <v>569060.67000000004</v>
      </c>
      <c r="G209" s="273"/>
    </row>
    <row r="210" spans="1:7" ht="18.75" customHeight="1" x14ac:dyDescent="0.3">
      <c r="A210" s="258" t="s">
        <v>286</v>
      </c>
      <c r="B210" s="259"/>
      <c r="C210" s="260"/>
      <c r="D210" s="254">
        <v>12</v>
      </c>
      <c r="E210" s="255"/>
      <c r="F210" s="271">
        <v>3922723.81</v>
      </c>
      <c r="G210" s="273"/>
    </row>
    <row r="211" spans="1:7" ht="18.75" customHeight="1" x14ac:dyDescent="0.3">
      <c r="A211" s="258" t="s">
        <v>287</v>
      </c>
      <c r="B211" s="259"/>
      <c r="C211" s="260"/>
      <c r="D211" s="254">
        <v>12</v>
      </c>
      <c r="E211" s="255"/>
      <c r="F211" s="271">
        <v>859297.46</v>
      </c>
      <c r="G211" s="273"/>
    </row>
    <row r="212" spans="1:7" ht="18.75" customHeight="1" x14ac:dyDescent="0.3">
      <c r="A212" s="258" t="s">
        <v>343</v>
      </c>
      <c r="B212" s="259"/>
      <c r="C212" s="260"/>
      <c r="D212" s="254">
        <v>12</v>
      </c>
      <c r="E212" s="255"/>
      <c r="F212" s="271">
        <v>10228058.640000001</v>
      </c>
      <c r="G212" s="273"/>
    </row>
    <row r="213" spans="1:7" ht="18.75" customHeight="1" x14ac:dyDescent="0.3">
      <c r="A213" s="258" t="s">
        <v>344</v>
      </c>
      <c r="B213" s="259"/>
      <c r="C213" s="260"/>
      <c r="D213" s="254">
        <v>12</v>
      </c>
      <c r="E213" s="255"/>
      <c r="F213" s="271">
        <v>75000</v>
      </c>
      <c r="G213" s="273"/>
    </row>
    <row r="214" spans="1:7" ht="18.75" customHeight="1" x14ac:dyDescent="0.3">
      <c r="A214" s="258" t="s">
        <v>381</v>
      </c>
      <c r="B214" s="259"/>
      <c r="C214" s="260"/>
      <c r="D214" s="254">
        <v>12</v>
      </c>
      <c r="E214" s="255"/>
      <c r="F214" s="271">
        <v>1314000</v>
      </c>
      <c r="G214" s="273"/>
    </row>
    <row r="215" spans="1:7" ht="18.75" x14ac:dyDescent="0.3">
      <c r="A215" s="258" t="s">
        <v>288</v>
      </c>
      <c r="B215" s="259"/>
      <c r="C215" s="260"/>
      <c r="D215" s="254">
        <v>12</v>
      </c>
      <c r="E215" s="255"/>
      <c r="F215" s="271">
        <v>700</v>
      </c>
      <c r="G215" s="273"/>
    </row>
    <row r="216" spans="1:7" ht="18.75" customHeight="1" x14ac:dyDescent="0.3">
      <c r="A216" s="258" t="s">
        <v>289</v>
      </c>
      <c r="B216" s="259"/>
      <c r="C216" s="260"/>
      <c r="D216" s="254">
        <v>5</v>
      </c>
      <c r="E216" s="255"/>
      <c r="F216" s="271">
        <f>400000</f>
        <v>400000</v>
      </c>
      <c r="G216" s="273"/>
    </row>
    <row r="217" spans="1:7" ht="18.75" x14ac:dyDescent="0.3">
      <c r="A217" s="258" t="s">
        <v>290</v>
      </c>
      <c r="B217" s="259"/>
      <c r="C217" s="260"/>
      <c r="D217" s="254">
        <v>1</v>
      </c>
      <c r="E217" s="255"/>
      <c r="F217" s="271">
        <v>2609404.16</v>
      </c>
      <c r="G217" s="273"/>
    </row>
    <row r="218" spans="1:7" ht="18.75" customHeight="1" x14ac:dyDescent="0.3">
      <c r="A218" s="258" t="s">
        <v>378</v>
      </c>
      <c r="B218" s="259"/>
      <c r="C218" s="260"/>
      <c r="D218" s="254"/>
      <c r="E218" s="255"/>
      <c r="F218" s="271"/>
      <c r="G218" s="273"/>
    </row>
    <row r="219" spans="1:7" ht="18.75" customHeight="1" x14ac:dyDescent="0.3">
      <c r="A219" s="258" t="s">
        <v>393</v>
      </c>
      <c r="B219" s="259"/>
      <c r="C219" s="260"/>
      <c r="D219" s="254">
        <v>12</v>
      </c>
      <c r="E219" s="255"/>
      <c r="F219" s="271">
        <v>644544</v>
      </c>
      <c r="G219" s="273"/>
    </row>
    <row r="220" spans="1:7" ht="18.75" customHeight="1" x14ac:dyDescent="0.3">
      <c r="A220" s="258" t="s">
        <v>394</v>
      </c>
      <c r="B220" s="259"/>
      <c r="C220" s="260"/>
      <c r="D220" s="254">
        <v>12</v>
      </c>
      <c r="E220" s="255"/>
      <c r="F220" s="271">
        <v>217898.84159999999</v>
      </c>
      <c r="G220" s="273"/>
    </row>
    <row r="221" spans="1:7" ht="18.75" customHeight="1" x14ac:dyDescent="0.3">
      <c r="A221" s="258" t="s">
        <v>395</v>
      </c>
      <c r="B221" s="259"/>
      <c r="C221" s="260"/>
      <c r="D221" s="254">
        <v>12</v>
      </c>
      <c r="E221" s="255"/>
      <c r="F221" s="271">
        <v>303329.56799999997</v>
      </c>
      <c r="G221" s="273"/>
    </row>
    <row r="222" spans="1:7" ht="18.75" customHeight="1" x14ac:dyDescent="0.3">
      <c r="A222" s="258" t="s">
        <v>396</v>
      </c>
      <c r="B222" s="259"/>
      <c r="C222" s="260"/>
      <c r="D222" s="254">
        <v>12</v>
      </c>
      <c r="E222" s="255"/>
      <c r="F222" s="271">
        <v>577146.18240000005</v>
      </c>
      <c r="G222" s="273"/>
    </row>
    <row r="223" spans="1:7" ht="18.75" customHeight="1" x14ac:dyDescent="0.3">
      <c r="A223" s="258" t="s">
        <v>397</v>
      </c>
      <c r="B223" s="259"/>
      <c r="C223" s="260"/>
      <c r="D223" s="254">
        <v>12</v>
      </c>
      <c r="E223" s="255"/>
      <c r="F223" s="271">
        <v>118689.19680000001</v>
      </c>
      <c r="G223" s="273"/>
    </row>
    <row r="224" spans="1:7" ht="18.75" customHeight="1" x14ac:dyDescent="0.3">
      <c r="A224" s="258" t="s">
        <v>398</v>
      </c>
      <c r="B224" s="259"/>
      <c r="C224" s="260"/>
      <c r="D224" s="254">
        <v>12</v>
      </c>
      <c r="E224" s="255"/>
      <c r="F224" s="271">
        <v>1339219.2</v>
      </c>
      <c r="G224" s="273"/>
    </row>
    <row r="225" spans="1:7" ht="18.75" customHeight="1" x14ac:dyDescent="0.3">
      <c r="A225" s="258" t="s">
        <v>399</v>
      </c>
      <c r="B225" s="259"/>
      <c r="C225" s="260"/>
      <c r="D225" s="254">
        <v>12</v>
      </c>
      <c r="E225" s="255"/>
      <c r="F225" s="271">
        <v>121747.2</v>
      </c>
      <c r="G225" s="273"/>
    </row>
    <row r="226" spans="1:7" ht="18.75" customHeight="1" x14ac:dyDescent="0.3">
      <c r="A226" s="258" t="s">
        <v>400</v>
      </c>
      <c r="B226" s="259"/>
      <c r="C226" s="260"/>
      <c r="D226" s="254">
        <v>12</v>
      </c>
      <c r="E226" s="255"/>
      <c r="F226" s="271">
        <v>48698.879999999997</v>
      </c>
      <c r="G226" s="273"/>
    </row>
    <row r="227" spans="1:7" ht="18.75" customHeight="1" x14ac:dyDescent="0.3">
      <c r="A227" s="258" t="s">
        <v>401</v>
      </c>
      <c r="B227" s="259"/>
      <c r="C227" s="260"/>
      <c r="D227" s="254">
        <v>12</v>
      </c>
      <c r="E227" s="255"/>
      <c r="F227" s="271">
        <v>71616</v>
      </c>
      <c r="G227" s="273"/>
    </row>
    <row r="228" spans="1:7" ht="18.75" x14ac:dyDescent="0.3">
      <c r="A228" s="258" t="s">
        <v>402</v>
      </c>
      <c r="B228" s="259"/>
      <c r="C228" s="260"/>
      <c r="D228" s="254">
        <v>12</v>
      </c>
      <c r="E228" s="255"/>
      <c r="F228" s="271">
        <v>35627.198400000751</v>
      </c>
      <c r="G228" s="273"/>
    </row>
    <row r="229" spans="1:7" ht="18.75" customHeight="1" x14ac:dyDescent="0.3">
      <c r="A229" s="258" t="s">
        <v>286</v>
      </c>
      <c r="B229" s="259"/>
      <c r="C229" s="260"/>
      <c r="D229" s="254">
        <v>12</v>
      </c>
      <c r="E229" s="255"/>
      <c r="F229" s="271">
        <v>746000</v>
      </c>
      <c r="G229" s="273"/>
    </row>
    <row r="230" spans="1:7" ht="18.75" customHeight="1" x14ac:dyDescent="0.3">
      <c r="A230" s="258" t="s">
        <v>403</v>
      </c>
      <c r="B230" s="259"/>
      <c r="C230" s="260"/>
      <c r="D230" s="254">
        <v>12</v>
      </c>
      <c r="E230" s="255"/>
      <c r="F230" s="271">
        <v>131296</v>
      </c>
      <c r="G230" s="273"/>
    </row>
    <row r="231" spans="1:7" ht="18.75" customHeight="1" x14ac:dyDescent="0.3">
      <c r="A231" s="258" t="s">
        <v>425</v>
      </c>
      <c r="B231" s="259"/>
      <c r="C231" s="260"/>
      <c r="D231" s="254">
        <v>12</v>
      </c>
      <c r="E231" s="255"/>
      <c r="F231" s="271">
        <v>17187.84</v>
      </c>
      <c r="G231" s="273"/>
    </row>
    <row r="232" spans="1:7" ht="18.75" x14ac:dyDescent="0.3">
      <c r="A232" s="258" t="s">
        <v>404</v>
      </c>
      <c r="B232" s="259"/>
      <c r="C232" s="260"/>
      <c r="D232" s="254">
        <v>1</v>
      </c>
      <c r="E232" s="255"/>
      <c r="F232" s="271">
        <v>208880</v>
      </c>
      <c r="G232" s="273"/>
    </row>
    <row r="233" spans="1:7" ht="18.75" x14ac:dyDescent="0.3">
      <c r="A233" s="258" t="s">
        <v>406</v>
      </c>
      <c r="B233" s="259"/>
      <c r="C233" s="260"/>
      <c r="D233" s="254">
        <v>3</v>
      </c>
      <c r="E233" s="255"/>
      <c r="F233" s="271">
        <v>281.09280000000001</v>
      </c>
      <c r="G233" s="273"/>
    </row>
    <row r="234" spans="1:7" ht="37.5" customHeight="1" x14ac:dyDescent="0.3">
      <c r="A234" s="258" t="s">
        <v>426</v>
      </c>
      <c r="B234" s="259"/>
      <c r="C234" s="260"/>
      <c r="D234" s="254">
        <v>12</v>
      </c>
      <c r="E234" s="255"/>
      <c r="F234" s="271">
        <v>1417996.8</v>
      </c>
      <c r="G234" s="273"/>
    </row>
    <row r="235" spans="1:7" ht="18.75" x14ac:dyDescent="0.3">
      <c r="A235" s="258" t="s">
        <v>405</v>
      </c>
      <c r="B235" s="259"/>
      <c r="C235" s="260"/>
      <c r="D235" s="254">
        <v>12</v>
      </c>
      <c r="E235" s="255"/>
      <c r="F235" s="271">
        <v>1396512</v>
      </c>
      <c r="G235" s="273"/>
    </row>
    <row r="236" spans="1:7" ht="18.75" customHeight="1" x14ac:dyDescent="0.3">
      <c r="A236" s="258" t="s">
        <v>429</v>
      </c>
      <c r="B236" s="259"/>
      <c r="C236" s="260"/>
      <c r="D236" s="254">
        <v>12</v>
      </c>
      <c r="E236" s="255"/>
      <c r="F236" s="271">
        <v>149200</v>
      </c>
      <c r="G236" s="273"/>
    </row>
    <row r="237" spans="1:7" ht="18.75" x14ac:dyDescent="0.3">
      <c r="A237" s="258" t="s">
        <v>146</v>
      </c>
      <c r="B237" s="259"/>
      <c r="C237" s="260"/>
      <c r="D237" s="289"/>
      <c r="E237" s="290"/>
      <c r="F237" s="271">
        <f>'гос.задание на 2024-2025 год '!D52</f>
        <v>30287001.129999999</v>
      </c>
      <c r="G237" s="273"/>
    </row>
    <row r="238" spans="1:7" ht="18.75" x14ac:dyDescent="0.25">
      <c r="A238" s="29"/>
    </row>
    <row r="239" spans="1:7" ht="18.75" x14ac:dyDescent="0.25">
      <c r="A239" s="280" t="s">
        <v>221</v>
      </c>
      <c r="B239" s="280"/>
      <c r="C239" s="280"/>
      <c r="D239" s="280"/>
      <c r="E239" s="280"/>
      <c r="F239" s="280"/>
      <c r="G239" s="280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63" t="s">
        <v>86</v>
      </c>
      <c r="B243" s="292"/>
      <c r="C243" s="264"/>
      <c r="D243" s="281" t="s">
        <v>137</v>
      </c>
      <c r="E243" s="281"/>
      <c r="F243" s="281" t="s">
        <v>138</v>
      </c>
      <c r="G243" s="281"/>
    </row>
    <row r="244" spans="1:7" ht="18.75" x14ac:dyDescent="0.3">
      <c r="A244" s="263">
        <v>1</v>
      </c>
      <c r="B244" s="292"/>
      <c r="C244" s="264"/>
      <c r="D244" s="254">
        <v>2</v>
      </c>
      <c r="E244" s="255"/>
      <c r="F244" s="254">
        <v>3</v>
      </c>
      <c r="G244" s="255"/>
    </row>
    <row r="245" spans="1:7" ht="18.75" customHeight="1" x14ac:dyDescent="0.3">
      <c r="A245" s="258" t="s">
        <v>139</v>
      </c>
      <c r="B245" s="259"/>
      <c r="C245" s="260"/>
      <c r="D245" s="267">
        <v>1</v>
      </c>
      <c r="E245" s="268"/>
      <c r="F245" s="271">
        <f>120000+33816</f>
        <v>153816</v>
      </c>
      <c r="G245" s="273"/>
    </row>
    <row r="246" spans="1:7" ht="18.75" x14ac:dyDescent="0.3">
      <c r="A246" s="258" t="s">
        <v>140</v>
      </c>
      <c r="B246" s="259"/>
      <c r="C246" s="260"/>
      <c r="D246" s="267">
        <v>1</v>
      </c>
      <c r="E246" s="268"/>
      <c r="F246" s="271">
        <v>5973851.5199999996</v>
      </c>
      <c r="G246" s="273"/>
    </row>
    <row r="247" spans="1:7" ht="18.75" customHeight="1" x14ac:dyDescent="0.3">
      <c r="A247" s="258" t="s">
        <v>345</v>
      </c>
      <c r="B247" s="259"/>
      <c r="C247" s="260"/>
      <c r="D247" s="267">
        <v>1</v>
      </c>
      <c r="E247" s="268"/>
      <c r="F247" s="271">
        <v>19744</v>
      </c>
      <c r="G247" s="273"/>
    </row>
    <row r="248" spans="1:7" ht="18.75" x14ac:dyDescent="0.3">
      <c r="A248" s="258" t="s">
        <v>292</v>
      </c>
      <c r="B248" s="259"/>
      <c r="C248" s="260"/>
      <c r="D248" s="267">
        <v>1</v>
      </c>
      <c r="E248" s="268"/>
      <c r="F248" s="271">
        <v>36000</v>
      </c>
      <c r="G248" s="273"/>
    </row>
    <row r="249" spans="1:7" ht="18.75" customHeight="1" x14ac:dyDescent="0.3">
      <c r="A249" s="258" t="s">
        <v>293</v>
      </c>
      <c r="B249" s="259"/>
      <c r="C249" s="260"/>
      <c r="D249" s="267">
        <v>5</v>
      </c>
      <c r="E249" s="268"/>
      <c r="F249" s="271">
        <v>45000</v>
      </c>
      <c r="G249" s="273"/>
    </row>
    <row r="250" spans="1:7" ht="18.75" x14ac:dyDescent="0.3">
      <c r="A250" s="258" t="s">
        <v>346</v>
      </c>
      <c r="B250" s="259"/>
      <c r="C250" s="260"/>
      <c r="D250" s="267">
        <v>1</v>
      </c>
      <c r="E250" s="268"/>
      <c r="F250" s="271">
        <v>45000</v>
      </c>
      <c r="G250" s="273"/>
    </row>
    <row r="251" spans="1:7" ht="18.75" customHeight="1" x14ac:dyDescent="0.3">
      <c r="A251" s="258" t="s">
        <v>294</v>
      </c>
      <c r="B251" s="259"/>
      <c r="C251" s="260"/>
      <c r="D251" s="267">
        <v>1</v>
      </c>
      <c r="E251" s="268"/>
      <c r="F251" s="271">
        <v>6000</v>
      </c>
      <c r="G251" s="273"/>
    </row>
    <row r="252" spans="1:7" ht="18.75" x14ac:dyDescent="0.3">
      <c r="A252" s="258" t="s">
        <v>295</v>
      </c>
      <c r="B252" s="259"/>
      <c r="C252" s="260"/>
      <c r="D252" s="267">
        <v>9</v>
      </c>
      <c r="E252" s="268"/>
      <c r="F252" s="271">
        <v>83001.279999999999</v>
      </c>
      <c r="G252" s="273"/>
    </row>
    <row r="253" spans="1:7" ht="18.75" customHeight="1" x14ac:dyDescent="0.3">
      <c r="A253" s="258" t="s">
        <v>347</v>
      </c>
      <c r="B253" s="259"/>
      <c r="C253" s="260"/>
      <c r="D253" s="267">
        <v>1</v>
      </c>
      <c r="E253" s="268"/>
      <c r="F253" s="271">
        <v>55000</v>
      </c>
      <c r="G253" s="273"/>
    </row>
    <row r="254" spans="1:7" ht="18.75" x14ac:dyDescent="0.3">
      <c r="A254" s="258" t="s">
        <v>382</v>
      </c>
      <c r="B254" s="259"/>
      <c r="C254" s="260"/>
      <c r="D254" s="267">
        <v>6</v>
      </c>
      <c r="E254" s="268"/>
      <c r="F254" s="271">
        <v>7620</v>
      </c>
      <c r="G254" s="273"/>
    </row>
    <row r="255" spans="1:7" ht="18.75" customHeight="1" x14ac:dyDescent="0.3">
      <c r="A255" s="258" t="s">
        <v>383</v>
      </c>
      <c r="B255" s="259"/>
      <c r="C255" s="260"/>
      <c r="D255" s="267">
        <v>2</v>
      </c>
      <c r="E255" s="268"/>
      <c r="F255" s="271">
        <v>60000</v>
      </c>
      <c r="G255" s="273"/>
    </row>
    <row r="256" spans="1:7" ht="18.75" customHeight="1" x14ac:dyDescent="0.3">
      <c r="A256" s="258" t="s">
        <v>407</v>
      </c>
      <c r="B256" s="259"/>
      <c r="C256" s="260"/>
      <c r="D256" s="267">
        <v>1</v>
      </c>
      <c r="E256" s="268"/>
      <c r="F256" s="271">
        <v>17350.5</v>
      </c>
      <c r="G256" s="273"/>
    </row>
    <row r="257" spans="1:7" ht="18.75" x14ac:dyDescent="0.3">
      <c r="A257" s="258" t="s">
        <v>408</v>
      </c>
      <c r="B257" s="259"/>
      <c r="C257" s="260"/>
      <c r="D257" s="267">
        <v>1</v>
      </c>
      <c r="E257" s="268"/>
      <c r="F257" s="271">
        <v>66394.58</v>
      </c>
      <c r="G257" s="273"/>
    </row>
    <row r="258" spans="1:7" ht="18.75" customHeight="1" x14ac:dyDescent="0.3">
      <c r="A258" s="258" t="s">
        <v>409</v>
      </c>
      <c r="B258" s="259"/>
      <c r="C258" s="260"/>
      <c r="D258" s="267">
        <v>1</v>
      </c>
      <c r="E258" s="268"/>
      <c r="F258" s="271">
        <v>18507.2</v>
      </c>
      <c r="G258" s="273"/>
    </row>
    <row r="259" spans="1:7" ht="18.75" customHeight="1" x14ac:dyDescent="0.3">
      <c r="A259" s="258" t="s">
        <v>410</v>
      </c>
      <c r="B259" s="259"/>
      <c r="C259" s="260"/>
      <c r="D259" s="267">
        <v>2</v>
      </c>
      <c r="E259" s="268"/>
      <c r="F259" s="271">
        <v>69402</v>
      </c>
      <c r="G259" s="273"/>
    </row>
    <row r="260" spans="1:7" ht="18.75" customHeight="1" x14ac:dyDescent="0.3">
      <c r="A260" s="258" t="s">
        <v>347</v>
      </c>
      <c r="B260" s="259"/>
      <c r="C260" s="260"/>
      <c r="D260" s="267">
        <v>1</v>
      </c>
      <c r="E260" s="268"/>
      <c r="F260" s="271">
        <v>107573.1</v>
      </c>
      <c r="G260" s="273"/>
    </row>
    <row r="261" spans="1:7" ht="57.75" customHeight="1" x14ac:dyDescent="0.3">
      <c r="A261" s="258" t="s">
        <v>430</v>
      </c>
      <c r="B261" s="259"/>
      <c r="C261" s="260"/>
      <c r="D261" s="267">
        <v>1</v>
      </c>
      <c r="E261" s="268"/>
      <c r="F261" s="271">
        <f>28917.5+32276.76</f>
        <v>61194.259999999995</v>
      </c>
      <c r="G261" s="273"/>
    </row>
    <row r="262" spans="1:7" ht="18.75" x14ac:dyDescent="0.3">
      <c r="A262" s="258" t="s">
        <v>146</v>
      </c>
      <c r="B262" s="259"/>
      <c r="C262" s="260"/>
      <c r="D262" s="289"/>
      <c r="E262" s="290"/>
      <c r="F262" s="271">
        <f>'гос.задание на 2024-2025 год '!H58</f>
        <v>6825454.4400000004</v>
      </c>
      <c r="G262" s="273"/>
    </row>
    <row r="263" spans="1:7" ht="18.75" x14ac:dyDescent="0.25">
      <c r="A263" s="8"/>
    </row>
    <row r="264" spans="1:7" ht="18.75" x14ac:dyDescent="0.25">
      <c r="A264" s="280" t="s">
        <v>222</v>
      </c>
      <c r="B264" s="280"/>
      <c r="C264" s="280"/>
      <c r="D264" s="280"/>
      <c r="E264" s="280"/>
      <c r="F264" s="280"/>
      <c r="G264" s="280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63" t="s">
        <v>86</v>
      </c>
      <c r="B268" s="264"/>
      <c r="C268" s="263" t="s">
        <v>137</v>
      </c>
      <c r="D268" s="264"/>
      <c r="E268" s="263" t="s">
        <v>138</v>
      </c>
      <c r="F268" s="292"/>
      <c r="G268" s="264"/>
    </row>
    <row r="269" spans="1:7" ht="18.75" x14ac:dyDescent="0.3">
      <c r="A269" s="263">
        <v>1</v>
      </c>
      <c r="B269" s="264"/>
      <c r="C269" s="263">
        <v>2</v>
      </c>
      <c r="D269" s="264"/>
      <c r="E269" s="254">
        <v>3</v>
      </c>
      <c r="F269" s="291"/>
      <c r="G269" s="255"/>
    </row>
    <row r="270" spans="1:7" ht="18.75" x14ac:dyDescent="0.3">
      <c r="A270" s="258" t="s">
        <v>25</v>
      </c>
      <c r="B270" s="260"/>
      <c r="C270" s="263">
        <v>1</v>
      </c>
      <c r="D270" s="264"/>
      <c r="E270" s="271">
        <f>'гос.задание на 2024-2025 год '!D60</f>
        <v>5067.62</v>
      </c>
      <c r="F270" s="272"/>
      <c r="G270" s="273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8" t="s">
        <v>225</v>
      </c>
      <c r="B273" s="288"/>
      <c r="C273" s="288"/>
      <c r="D273" s="288"/>
      <c r="E273" s="288"/>
      <c r="F273" s="288"/>
      <c r="G273" s="288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81" t="s">
        <v>142</v>
      </c>
      <c r="C277" s="281"/>
      <c r="D277" s="281" t="s">
        <v>143</v>
      </c>
      <c r="E277" s="281"/>
      <c r="F277" s="281" t="s">
        <v>150</v>
      </c>
      <c r="G277" s="281"/>
    </row>
    <row r="278" spans="1:7" ht="18.75" x14ac:dyDescent="0.25">
      <c r="A278" s="216">
        <v>1</v>
      </c>
      <c r="B278" s="263">
        <v>2</v>
      </c>
      <c r="C278" s="264"/>
      <c r="D278" s="263">
        <v>3</v>
      </c>
      <c r="E278" s="264"/>
      <c r="F278" s="263">
        <v>4</v>
      </c>
      <c r="G278" s="264"/>
    </row>
    <row r="279" spans="1:7" ht="18.75" x14ac:dyDescent="0.25">
      <c r="A279" s="13"/>
      <c r="B279" s="293"/>
      <c r="C279" s="294"/>
      <c r="D279" s="293"/>
      <c r="E279" s="294"/>
      <c r="F279" s="340"/>
      <c r="G279" s="341"/>
    </row>
    <row r="280" spans="1:7" ht="18.75" x14ac:dyDescent="0.25">
      <c r="A280" s="13" t="s">
        <v>237</v>
      </c>
      <c r="B280" s="263"/>
      <c r="C280" s="264"/>
      <c r="D280" s="261"/>
      <c r="E280" s="262"/>
      <c r="F280" s="261">
        <f>'гос.задание на 2024-2025 год '!D99</f>
        <v>0</v>
      </c>
      <c r="G280" s="262"/>
    </row>
    <row r="281" spans="1:7" ht="18.75" x14ac:dyDescent="0.25">
      <c r="A281" s="13"/>
      <c r="B281" s="263"/>
      <c r="C281" s="264"/>
      <c r="D281" s="261"/>
      <c r="E281" s="262"/>
      <c r="F281" s="261"/>
      <c r="G281" s="262"/>
    </row>
    <row r="282" spans="1:7" ht="18.75" x14ac:dyDescent="0.25">
      <c r="A282" s="13" t="s">
        <v>238</v>
      </c>
      <c r="B282" s="263"/>
      <c r="C282" s="264"/>
      <c r="D282" s="261"/>
      <c r="E282" s="262"/>
      <c r="F282" s="261">
        <f>'гос.задание на 2024-2025 год '!D100</f>
        <v>0</v>
      </c>
      <c r="G282" s="262"/>
    </row>
    <row r="283" spans="1:7" ht="18.75" x14ac:dyDescent="0.25">
      <c r="A283" s="13"/>
      <c r="B283" s="263"/>
      <c r="C283" s="264"/>
      <c r="D283" s="261"/>
      <c r="E283" s="262"/>
      <c r="F283" s="261"/>
      <c r="G283" s="262"/>
    </row>
    <row r="284" spans="1:7" ht="18.75" x14ac:dyDescent="0.25">
      <c r="A284" s="13" t="s">
        <v>239</v>
      </c>
      <c r="B284" s="263"/>
      <c r="C284" s="264"/>
      <c r="D284" s="261"/>
      <c r="E284" s="262"/>
      <c r="F284" s="261">
        <f>'гос.задание на 2024-2025 год '!D101</f>
        <v>290000</v>
      </c>
      <c r="G284" s="262"/>
    </row>
    <row r="285" spans="1:7" ht="18.75" x14ac:dyDescent="0.25">
      <c r="A285" s="13" t="s">
        <v>296</v>
      </c>
      <c r="B285" s="263">
        <v>5370.37</v>
      </c>
      <c r="C285" s="264"/>
      <c r="D285" s="261">
        <v>54</v>
      </c>
      <c r="E285" s="262"/>
      <c r="F285" s="261">
        <v>290000</v>
      </c>
      <c r="G285" s="262"/>
    </row>
    <row r="286" spans="1:7" ht="18.75" x14ac:dyDescent="0.25">
      <c r="A286" s="13" t="s">
        <v>240</v>
      </c>
      <c r="B286" s="263"/>
      <c r="C286" s="264"/>
      <c r="D286" s="261"/>
      <c r="E286" s="262"/>
      <c r="F286" s="261">
        <f>'гос.задание на 2024-2025 год '!D102</f>
        <v>200000</v>
      </c>
      <c r="G286" s="262"/>
    </row>
    <row r="287" spans="1:7" ht="18.75" x14ac:dyDescent="0.25">
      <c r="A287" s="13" t="s">
        <v>297</v>
      </c>
      <c r="B287" s="263">
        <v>4000</v>
      </c>
      <c r="C287" s="264"/>
      <c r="D287" s="261">
        <v>50</v>
      </c>
      <c r="E287" s="262"/>
      <c r="F287" s="261">
        <v>200000</v>
      </c>
      <c r="G287" s="262"/>
    </row>
    <row r="288" spans="1:7" ht="18.75" x14ac:dyDescent="0.25">
      <c r="A288" s="13" t="s">
        <v>241</v>
      </c>
      <c r="B288" s="263"/>
      <c r="C288" s="264"/>
      <c r="D288" s="261"/>
      <c r="E288" s="262"/>
      <c r="F288" s="261">
        <f>'гос.задание на 2024-2025 год '!D103</f>
        <v>334245</v>
      </c>
      <c r="G288" s="262"/>
    </row>
    <row r="289" spans="1:7" ht="18.75" x14ac:dyDescent="0.25">
      <c r="A289" s="13" t="s">
        <v>298</v>
      </c>
      <c r="B289" s="263">
        <v>36</v>
      </c>
      <c r="C289" s="264"/>
      <c r="D289" s="261">
        <v>1666.67</v>
      </c>
      <c r="E289" s="262"/>
      <c r="F289" s="261">
        <v>60000</v>
      </c>
      <c r="G289" s="262"/>
    </row>
    <row r="290" spans="1:7" ht="18.75" x14ac:dyDescent="0.25">
      <c r="A290" s="13" t="s">
        <v>299</v>
      </c>
      <c r="B290" s="263">
        <v>20</v>
      </c>
      <c r="C290" s="264"/>
      <c r="D290" s="261">
        <v>4000</v>
      </c>
      <c r="E290" s="262"/>
      <c r="F290" s="261">
        <v>80000</v>
      </c>
      <c r="G290" s="262"/>
    </row>
    <row r="291" spans="1:7" ht="18.75" x14ac:dyDescent="0.25">
      <c r="A291" s="13" t="s">
        <v>300</v>
      </c>
      <c r="B291" s="263">
        <v>50</v>
      </c>
      <c r="C291" s="264"/>
      <c r="D291" s="261">
        <v>3884.9</v>
      </c>
      <c r="E291" s="262"/>
      <c r="F291" s="261">
        <v>194245</v>
      </c>
      <c r="G291" s="262"/>
    </row>
    <row r="292" spans="1:7" ht="18.75" x14ac:dyDescent="0.25">
      <c r="A292" s="13" t="s">
        <v>242</v>
      </c>
      <c r="B292" s="263"/>
      <c r="C292" s="264"/>
      <c r="D292" s="261"/>
      <c r="E292" s="262"/>
      <c r="F292" s="261">
        <f>'гос.задание на 2024-2025 год '!D104</f>
        <v>8428958.6199999992</v>
      </c>
      <c r="G292" s="262"/>
    </row>
    <row r="293" spans="1:7" ht="18.75" x14ac:dyDescent="0.25">
      <c r="A293" s="13" t="s">
        <v>377</v>
      </c>
      <c r="B293" s="265"/>
      <c r="C293" s="266"/>
      <c r="D293" s="261"/>
      <c r="E293" s="262"/>
      <c r="F293" s="261"/>
      <c r="G293" s="262"/>
    </row>
    <row r="294" spans="1:7" ht="18.75" x14ac:dyDescent="0.25">
      <c r="A294" s="13" t="s">
        <v>301</v>
      </c>
      <c r="B294" s="265">
        <v>1000</v>
      </c>
      <c r="C294" s="266"/>
      <c r="D294" s="261">
        <v>45</v>
      </c>
      <c r="E294" s="262"/>
      <c r="F294" s="261">
        <v>45000</v>
      </c>
      <c r="G294" s="262"/>
    </row>
    <row r="295" spans="1:7" ht="18.75" x14ac:dyDescent="0.25">
      <c r="A295" s="13" t="s">
        <v>302</v>
      </c>
      <c r="B295" s="265">
        <v>1999</v>
      </c>
      <c r="C295" s="266"/>
      <c r="D295" s="261">
        <v>22.9</v>
      </c>
      <c r="E295" s="262"/>
      <c r="F295" s="261">
        <v>45777.120000000003</v>
      </c>
      <c r="G295" s="262"/>
    </row>
    <row r="296" spans="1:7" ht="37.5" x14ac:dyDescent="0.25">
      <c r="A296" s="13" t="s">
        <v>303</v>
      </c>
      <c r="B296" s="265">
        <v>141</v>
      </c>
      <c r="C296" s="266"/>
      <c r="D296" s="261">
        <v>2593.62</v>
      </c>
      <c r="E296" s="262"/>
      <c r="F296" s="261">
        <f>45000+180700+140000</f>
        <v>365700</v>
      </c>
      <c r="G296" s="262"/>
    </row>
    <row r="297" spans="1:7" ht="18.75" x14ac:dyDescent="0.25">
      <c r="A297" s="13" t="s">
        <v>304</v>
      </c>
      <c r="B297" s="265">
        <v>200</v>
      </c>
      <c r="C297" s="266"/>
      <c r="D297" s="261">
        <v>1400</v>
      </c>
      <c r="E297" s="262"/>
      <c r="F297" s="261">
        <v>280000</v>
      </c>
      <c r="G297" s="262"/>
    </row>
    <row r="298" spans="1:7" ht="37.5" x14ac:dyDescent="0.25">
      <c r="A298" s="13" t="s">
        <v>305</v>
      </c>
      <c r="B298" s="265">
        <v>500</v>
      </c>
      <c r="C298" s="266"/>
      <c r="D298" s="261">
        <v>12350.16</v>
      </c>
      <c r="E298" s="262"/>
      <c r="F298" s="261">
        <v>6175081.5</v>
      </c>
      <c r="G298" s="262"/>
    </row>
    <row r="299" spans="1:7" ht="18.75" x14ac:dyDescent="0.25">
      <c r="A299" s="13" t="s">
        <v>378</v>
      </c>
      <c r="B299" s="265"/>
      <c r="C299" s="266"/>
      <c r="D299" s="261"/>
      <c r="E299" s="262"/>
      <c r="F299" s="261"/>
      <c r="G299" s="262"/>
    </row>
    <row r="300" spans="1:7" ht="18.75" x14ac:dyDescent="0.25">
      <c r="A300" s="13" t="s">
        <v>412</v>
      </c>
      <c r="B300" s="265">
        <v>1000</v>
      </c>
      <c r="C300" s="266"/>
      <c r="D300" s="261">
        <v>162.62</v>
      </c>
      <c r="E300" s="262"/>
      <c r="F300" s="261">
        <v>162620</v>
      </c>
      <c r="G300" s="262"/>
    </row>
    <row r="301" spans="1:7" ht="18.75" x14ac:dyDescent="0.25">
      <c r="A301" s="13" t="s">
        <v>413</v>
      </c>
      <c r="B301" s="265">
        <v>500</v>
      </c>
      <c r="C301" s="266"/>
      <c r="D301" s="261">
        <v>525.54</v>
      </c>
      <c r="E301" s="262"/>
      <c r="F301" s="261">
        <v>262770</v>
      </c>
      <c r="G301" s="262"/>
    </row>
    <row r="302" spans="1:7" ht="37.5" x14ac:dyDescent="0.25">
      <c r="A302" s="13" t="s">
        <v>414</v>
      </c>
      <c r="B302" s="265">
        <v>30</v>
      </c>
      <c r="C302" s="266"/>
      <c r="D302" s="261">
        <v>212.51</v>
      </c>
      <c r="E302" s="262"/>
      <c r="F302" s="261">
        <v>6375.3</v>
      </c>
      <c r="G302" s="262"/>
    </row>
    <row r="303" spans="1:7" ht="37.5" x14ac:dyDescent="0.25">
      <c r="A303" s="13" t="s">
        <v>432</v>
      </c>
      <c r="B303" s="265">
        <v>12</v>
      </c>
      <c r="C303" s="266"/>
      <c r="D303" s="261">
        <v>13858.18</v>
      </c>
      <c r="E303" s="262"/>
      <c r="F303" s="261">
        <v>166298.20000000001</v>
      </c>
      <c r="G303" s="262"/>
    </row>
    <row r="304" spans="1:7" ht="18.75" x14ac:dyDescent="0.25">
      <c r="A304" s="13" t="s">
        <v>416</v>
      </c>
      <c r="B304" s="265">
        <v>1000</v>
      </c>
      <c r="C304" s="266"/>
      <c r="D304" s="261">
        <v>8.31</v>
      </c>
      <c r="E304" s="262"/>
      <c r="F304" s="261">
        <v>8310</v>
      </c>
      <c r="G304" s="262"/>
    </row>
    <row r="305" spans="1:7" ht="18.75" x14ac:dyDescent="0.25">
      <c r="A305" s="13" t="s">
        <v>301</v>
      </c>
      <c r="B305" s="265">
        <v>1000</v>
      </c>
      <c r="C305" s="266"/>
      <c r="D305" s="261">
        <v>277.19</v>
      </c>
      <c r="E305" s="262"/>
      <c r="F305" s="261">
        <v>277190</v>
      </c>
      <c r="G305" s="262"/>
    </row>
    <row r="306" spans="1:7" ht="18.75" x14ac:dyDescent="0.25">
      <c r="A306" s="13" t="s">
        <v>417</v>
      </c>
      <c r="B306" s="265">
        <v>70</v>
      </c>
      <c r="C306" s="266"/>
      <c r="D306" s="261">
        <v>791.95</v>
      </c>
      <c r="E306" s="262"/>
      <c r="F306" s="261">
        <v>55436.5</v>
      </c>
      <c r="G306" s="262"/>
    </row>
    <row r="307" spans="1:7" ht="18.75" x14ac:dyDescent="0.25">
      <c r="A307" s="13" t="s">
        <v>302</v>
      </c>
      <c r="B307" s="265">
        <v>2000</v>
      </c>
      <c r="C307" s="266"/>
      <c r="D307" s="261">
        <v>132.13</v>
      </c>
      <c r="E307" s="262"/>
      <c r="F307" s="261">
        <v>264260</v>
      </c>
      <c r="G307" s="262"/>
    </row>
    <row r="308" spans="1:7" ht="37.5" x14ac:dyDescent="0.25">
      <c r="A308" s="13" t="s">
        <v>305</v>
      </c>
      <c r="B308" s="265">
        <v>80</v>
      </c>
      <c r="C308" s="266"/>
      <c r="D308" s="261">
        <v>3926.75</v>
      </c>
      <c r="E308" s="262"/>
      <c r="F308" s="261">
        <v>314140</v>
      </c>
      <c r="G308" s="262"/>
    </row>
    <row r="309" spans="1:7" ht="18.75" x14ac:dyDescent="0.25">
      <c r="A309" s="13" t="s">
        <v>243</v>
      </c>
      <c r="B309" s="263"/>
      <c r="C309" s="264"/>
      <c r="D309" s="261"/>
      <c r="E309" s="262"/>
      <c r="F309" s="261">
        <f>'гос.задание на 2024-2025 год '!D106</f>
        <v>148700</v>
      </c>
      <c r="G309" s="262"/>
    </row>
    <row r="310" spans="1:7" ht="37.5" x14ac:dyDescent="0.25">
      <c r="A310" s="13" t="s">
        <v>384</v>
      </c>
      <c r="B310" s="265">
        <v>100000</v>
      </c>
      <c r="C310" s="266"/>
      <c r="D310" s="261">
        <v>1.48</v>
      </c>
      <c r="E310" s="262"/>
      <c r="F310" s="261">
        <v>148700</v>
      </c>
      <c r="G310" s="262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7"/>
      <c r="D313" s="227"/>
      <c r="E313" s="10"/>
      <c r="F313" s="227" t="s">
        <v>478</v>
      </c>
      <c r="G313" s="227"/>
    </row>
    <row r="314" spans="1:7" ht="18.75" x14ac:dyDescent="0.3">
      <c r="A314" s="29"/>
      <c r="B314" s="10"/>
      <c r="C314" s="226" t="s">
        <v>53</v>
      </c>
      <c r="D314" s="226"/>
      <c r="E314" s="10"/>
      <c r="F314" s="226" t="s">
        <v>54</v>
      </c>
      <c r="G314" s="226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27"/>
      <c r="D316" s="227"/>
      <c r="E316" s="10"/>
      <c r="F316" s="227" t="s">
        <v>482</v>
      </c>
      <c r="G316" s="227"/>
    </row>
    <row r="317" spans="1:7" ht="18.75" x14ac:dyDescent="0.3">
      <c r="A317" s="29"/>
      <c r="B317" s="10"/>
      <c r="C317" s="226" t="s">
        <v>53</v>
      </c>
      <c r="D317" s="226"/>
      <c r="E317" s="10"/>
      <c r="F317" s="226" t="s">
        <v>54</v>
      </c>
      <c r="G317" s="226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27"/>
      <c r="D319" s="227"/>
      <c r="E319" s="10"/>
      <c r="F319" s="227" t="s">
        <v>482</v>
      </c>
      <c r="G319" s="227"/>
    </row>
    <row r="320" spans="1:7" ht="18.75" x14ac:dyDescent="0.3">
      <c r="A320" s="29"/>
      <c r="B320" s="10"/>
      <c r="C320" s="226" t="s">
        <v>53</v>
      </c>
      <c r="D320" s="226"/>
      <c r="E320" s="10"/>
      <c r="F320" s="226" t="s">
        <v>54</v>
      </c>
      <c r="G320" s="226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5" t="s">
        <v>44</v>
      </c>
      <c r="B322" s="225"/>
      <c r="C322" s="10"/>
      <c r="D322" s="10"/>
      <c r="E322" s="10"/>
      <c r="F322" s="10"/>
      <c r="G322" s="10"/>
    </row>
  </sheetData>
  <mergeCells count="476"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6"/>
  <sheetViews>
    <sheetView view="pageBreakPreview" topLeftCell="A55" zoomScaleNormal="100" zoomScaleSheetLayoutView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40" t="s">
        <v>265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74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34"/>
    </row>
    <row r="6" spans="1:9" ht="79.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8" si="0">E9+F9</f>
        <v>0</v>
      </c>
      <c r="E9" s="5">
        <f>E8+E10-E25+E108</f>
        <v>0</v>
      </c>
      <c r="F9" s="5">
        <f>F8+F10-F25+F108</f>
        <v>0</v>
      </c>
      <c r="G9" s="5">
        <f t="shared" ref="G9:G10" si="1">H9+I9</f>
        <v>0</v>
      </c>
      <c r="H9" s="5">
        <f>H8+H10-H25+H108</f>
        <v>0</v>
      </c>
      <c r="I9" s="5">
        <f>I8+I10-I25+I108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F12+F13+F14+F15+F16+F17+F21+F103</f>
        <v>0</v>
      </c>
      <c r="G10" s="2">
        <f t="shared" si="1"/>
        <v>0</v>
      </c>
      <c r="H10" s="2">
        <f>H12+H13+H14+H15+H16+H17+H21</f>
        <v>0</v>
      </c>
      <c r="I10" s="4">
        <f>I12+I13+I14+I15+I16+I17+I21+I103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E27+E94</f>
        <v>0</v>
      </c>
      <c r="F25" s="2">
        <f>F27+F94</f>
        <v>0</v>
      </c>
      <c r="G25" s="5">
        <f t="shared" si="12"/>
        <v>0</v>
      </c>
      <c r="H25" s="2">
        <f>H27+H94</f>
        <v>0</v>
      </c>
      <c r="I25" s="2">
        <f>I27+I94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E29+E37+E64+E73</f>
        <v>0</v>
      </c>
      <c r="F27" s="2">
        <f>F29+F37+F64+F73</f>
        <v>0</v>
      </c>
      <c r="G27" s="5">
        <f t="shared" ref="G27" si="13">H27+I27</f>
        <v>0</v>
      </c>
      <c r="H27" s="2">
        <f>H29+H37+H64+H73</f>
        <v>0</v>
      </c>
      <c r="I27" s="2">
        <f>I29+I37+I64+I73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8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9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E39+E40+E43+E50+E51+E54+E61+E62</f>
        <v>0</v>
      </c>
      <c r="F37" s="2">
        <f>F39+F40+F43+F50+F51+F54+F61+F62</f>
        <v>0</v>
      </c>
      <c r="G37" s="5">
        <f t="shared" ref="G37" si="17">H37+I37</f>
        <v>0</v>
      </c>
      <c r="H37" s="2">
        <f>H39+H40+H43+H50+H51+H54+H61+H62</f>
        <v>0</v>
      </c>
      <c r="I37" s="2">
        <f>I39+I40+I43+I50+I51+I54+I61+I62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4" si="26">H52+I52</f>
        <v>0</v>
      </c>
      <c r="H52" s="2"/>
      <c r="I52" s="2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4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4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4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4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4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243"/>
      <c r="B60" s="221">
        <v>323</v>
      </c>
      <c r="C60" s="221">
        <v>226</v>
      </c>
      <c r="D60" s="5"/>
      <c r="E60" s="2"/>
      <c r="F60" s="2"/>
      <c r="G60" s="5"/>
      <c r="H60" s="2"/>
      <c r="I60" s="2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>E61+F61</f>
        <v>0</v>
      </c>
      <c r="E61" s="2"/>
      <c r="F61" s="2"/>
      <c r="G61" s="5">
        <f t="shared" si="26"/>
        <v>0</v>
      </c>
      <c r="H61" s="2"/>
      <c r="I61" s="2"/>
    </row>
    <row r="62" spans="1:9" ht="56.25" x14ac:dyDescent="0.25">
      <c r="A62" s="170" t="s">
        <v>340</v>
      </c>
      <c r="B62" s="171">
        <v>244</v>
      </c>
      <c r="C62" s="171">
        <v>228</v>
      </c>
      <c r="D62" s="5">
        <f t="shared" ref="D62:D63" si="27">E62+F62</f>
        <v>0</v>
      </c>
      <c r="E62" s="2"/>
      <c r="F62" s="2"/>
      <c r="G62" s="5">
        <f t="shared" ref="G62:G63" si="28">H62+I62</f>
        <v>0</v>
      </c>
      <c r="H62" s="2"/>
      <c r="I62" s="2"/>
    </row>
    <row r="63" spans="1:9" ht="150" x14ac:dyDescent="0.25">
      <c r="A63" s="219" t="s">
        <v>490</v>
      </c>
      <c r="B63" s="220">
        <v>244</v>
      </c>
      <c r="C63" s="220">
        <v>229</v>
      </c>
      <c r="D63" s="5">
        <f t="shared" si="27"/>
        <v>0</v>
      </c>
      <c r="E63" s="2">
        <v>0</v>
      </c>
      <c r="F63" s="2">
        <v>0</v>
      </c>
      <c r="G63" s="5">
        <f t="shared" si="28"/>
        <v>0</v>
      </c>
      <c r="H63" s="2">
        <v>0</v>
      </c>
      <c r="I63" s="2">
        <v>0</v>
      </c>
    </row>
    <row r="64" spans="1:9" ht="37.5" x14ac:dyDescent="0.25">
      <c r="A64" s="115" t="s">
        <v>26</v>
      </c>
      <c r="B64" s="119" t="s">
        <v>5</v>
      </c>
      <c r="C64" s="119">
        <v>260</v>
      </c>
      <c r="D64" s="5">
        <f>E64+F64</f>
        <v>0</v>
      </c>
      <c r="E64" s="2">
        <f>E65+E66+E67+E68+E72</f>
        <v>0</v>
      </c>
      <c r="F64" s="2">
        <f>F66+F67+F68+F72</f>
        <v>0</v>
      </c>
      <c r="G64" s="5">
        <f t="shared" si="26"/>
        <v>0</v>
      </c>
      <c r="H64" s="2">
        <f>H65+H66+H67+H68+H72</f>
        <v>0</v>
      </c>
      <c r="I64" s="2">
        <f>I66+I67+I68+I72</f>
        <v>0</v>
      </c>
    </row>
    <row r="65" spans="1:9" ht="93.75" x14ac:dyDescent="0.25">
      <c r="A65" s="212" t="s">
        <v>479</v>
      </c>
      <c r="B65" s="213">
        <v>323</v>
      </c>
      <c r="C65" s="213">
        <v>263</v>
      </c>
      <c r="D65" s="5"/>
      <c r="E65" s="2"/>
      <c r="F65" s="2"/>
      <c r="G65" s="5"/>
      <c r="H65" s="2"/>
      <c r="I65" s="2"/>
    </row>
    <row r="66" spans="1:9" ht="112.5" x14ac:dyDescent="0.25">
      <c r="A66" s="115" t="s">
        <v>27</v>
      </c>
      <c r="B66" s="119">
        <v>321</v>
      </c>
      <c r="C66" s="119">
        <v>264</v>
      </c>
      <c r="D66" s="5">
        <f>E66+F66</f>
        <v>0</v>
      </c>
      <c r="E66" s="2"/>
      <c r="F66" s="2"/>
      <c r="G66" s="5">
        <f t="shared" si="26"/>
        <v>0</v>
      </c>
      <c r="H66" s="2"/>
      <c r="I66" s="2"/>
    </row>
    <row r="67" spans="1:9" ht="168.75" x14ac:dyDescent="0.25">
      <c r="A67" s="192" t="s">
        <v>435</v>
      </c>
      <c r="B67" s="193">
        <v>119</v>
      </c>
      <c r="C67" s="193">
        <v>265</v>
      </c>
      <c r="D67" s="5">
        <f>E67+F67</f>
        <v>0</v>
      </c>
      <c r="E67" s="2"/>
      <c r="F67" s="2"/>
      <c r="G67" s="5">
        <f t="shared" si="26"/>
        <v>0</v>
      </c>
      <c r="H67" s="2"/>
      <c r="I67" s="2"/>
    </row>
    <row r="68" spans="1:9" ht="93.75" x14ac:dyDescent="0.25">
      <c r="A68" s="115" t="s">
        <v>28</v>
      </c>
      <c r="B68" s="119" t="s">
        <v>5</v>
      </c>
      <c r="C68" s="119">
        <v>266</v>
      </c>
      <c r="D68" s="5">
        <f t="shared" si="0"/>
        <v>0</v>
      </c>
      <c r="E68" s="2">
        <f t="shared" ref="E68" si="29">E69+E70</f>
        <v>0</v>
      </c>
      <c r="F68" s="2">
        <f t="shared" ref="F68" si="30">F69+F70</f>
        <v>0</v>
      </c>
      <c r="G68" s="5">
        <f t="shared" si="26"/>
        <v>0</v>
      </c>
      <c r="H68" s="2">
        <f t="shared" ref="H68" si="31">H69+H70</f>
        <v>0</v>
      </c>
      <c r="I68" s="2">
        <f t="shared" ref="I68" si="32">I69+I70</f>
        <v>0</v>
      </c>
    </row>
    <row r="69" spans="1:9" ht="18.75" x14ac:dyDescent="0.25">
      <c r="A69" s="224" t="s">
        <v>6</v>
      </c>
      <c r="B69" s="119">
        <v>111</v>
      </c>
      <c r="C69" s="119">
        <v>266</v>
      </c>
      <c r="D69" s="5">
        <f t="shared" si="0"/>
        <v>0</v>
      </c>
      <c r="E69" s="2"/>
      <c r="F69" s="2"/>
      <c r="G69" s="5">
        <f t="shared" si="26"/>
        <v>0</v>
      </c>
      <c r="H69" s="2"/>
      <c r="I69" s="2"/>
    </row>
    <row r="70" spans="1:9" ht="18.75" x14ac:dyDescent="0.25">
      <c r="A70" s="224"/>
      <c r="B70" s="119">
        <v>112</v>
      </c>
      <c r="C70" s="119">
        <v>266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212"/>
      <c r="B71" s="213">
        <v>119</v>
      </c>
      <c r="C71" s="213">
        <v>266</v>
      </c>
      <c r="D71" s="5">
        <f t="shared" ref="D71" si="33">E71+F71</f>
        <v>0</v>
      </c>
      <c r="E71" s="2"/>
      <c r="F71" s="2"/>
      <c r="G71" s="5">
        <f t="shared" ref="G71" si="34">H71+I71</f>
        <v>0</v>
      </c>
      <c r="H71" s="2"/>
      <c r="I71" s="2"/>
    </row>
    <row r="72" spans="1:9" ht="75" x14ac:dyDescent="0.25">
      <c r="A72" s="115" t="s">
        <v>29</v>
      </c>
      <c r="B72" s="119">
        <v>112</v>
      </c>
      <c r="C72" s="119">
        <v>267</v>
      </c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18.75" x14ac:dyDescent="0.25">
      <c r="A73" s="115" t="s">
        <v>30</v>
      </c>
      <c r="B73" s="119" t="s">
        <v>5</v>
      </c>
      <c r="C73" s="119">
        <v>290</v>
      </c>
      <c r="D73" s="5">
        <f t="shared" si="0"/>
        <v>0</v>
      </c>
      <c r="E73" s="2">
        <f>E75+E79+E80+E81+E82+E89</f>
        <v>0</v>
      </c>
      <c r="F73" s="2">
        <f>F75+F79+F80+F81+F82+F89</f>
        <v>0</v>
      </c>
      <c r="G73" s="5">
        <f t="shared" si="26"/>
        <v>0</v>
      </c>
      <c r="H73" s="2">
        <f>H75+H79+H80+H81+H82+H89</f>
        <v>0</v>
      </c>
      <c r="I73" s="2">
        <f>I75+I79+I80+I81+I82+I89</f>
        <v>0</v>
      </c>
    </row>
    <row r="74" spans="1:9" ht="18.75" x14ac:dyDescent="0.25">
      <c r="A74" s="115" t="s">
        <v>9</v>
      </c>
      <c r="B74" s="119"/>
      <c r="C74" s="119"/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37.5" x14ac:dyDescent="0.25">
      <c r="A75" s="115" t="s">
        <v>31</v>
      </c>
      <c r="B75" s="119" t="s">
        <v>5</v>
      </c>
      <c r="C75" s="119">
        <v>291</v>
      </c>
      <c r="D75" s="5">
        <f t="shared" si="0"/>
        <v>0</v>
      </c>
      <c r="E75" s="2">
        <f t="shared" ref="E75" si="35">E76+E77+E78</f>
        <v>0</v>
      </c>
      <c r="F75" s="2">
        <f t="shared" ref="F75" si="36">F76+F77+F78</f>
        <v>0</v>
      </c>
      <c r="G75" s="5">
        <f t="shared" si="26"/>
        <v>0</v>
      </c>
      <c r="H75" s="2">
        <f t="shared" ref="H75" si="37">H76+H77+H78</f>
        <v>0</v>
      </c>
      <c r="I75" s="2">
        <f t="shared" ref="I75" si="38">I76+I77+I78</f>
        <v>0</v>
      </c>
    </row>
    <row r="76" spans="1:9" ht="18.75" x14ac:dyDescent="0.25">
      <c r="A76" s="224" t="s">
        <v>6</v>
      </c>
      <c r="B76" s="119">
        <v>851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8.75" x14ac:dyDescent="0.25">
      <c r="A77" s="224"/>
      <c r="B77" s="119">
        <v>852</v>
      </c>
      <c r="C77" s="119">
        <v>291</v>
      </c>
      <c r="D77" s="5">
        <f t="shared" si="0"/>
        <v>0</v>
      </c>
      <c r="E77" s="2"/>
      <c r="F77" s="2"/>
      <c r="G77" s="5">
        <f t="shared" si="26"/>
        <v>0</v>
      </c>
      <c r="H77" s="2"/>
      <c r="I77" s="2"/>
    </row>
    <row r="78" spans="1:9" ht="18.75" x14ac:dyDescent="0.25">
      <c r="A78" s="224"/>
      <c r="B78" s="119">
        <v>853</v>
      </c>
      <c r="C78" s="119">
        <v>291</v>
      </c>
      <c r="D78" s="5">
        <f t="shared" si="0"/>
        <v>0</v>
      </c>
      <c r="E78" s="2"/>
      <c r="F78" s="2"/>
      <c r="G78" s="5">
        <f t="shared" si="26"/>
        <v>0</v>
      </c>
      <c r="H78" s="2"/>
      <c r="I78" s="2"/>
    </row>
    <row r="79" spans="1:9" ht="112.5" x14ac:dyDescent="0.25">
      <c r="A79" s="115" t="s">
        <v>32</v>
      </c>
      <c r="B79" s="119">
        <v>853</v>
      </c>
      <c r="C79" s="119">
        <v>292</v>
      </c>
      <c r="D79" s="5">
        <f t="shared" ref="D79:D112" si="39">E79+F79</f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131.25" x14ac:dyDescent="0.25">
      <c r="A80" s="115" t="s">
        <v>33</v>
      </c>
      <c r="B80" s="119">
        <v>853</v>
      </c>
      <c r="C80" s="119">
        <v>293</v>
      </c>
      <c r="D80" s="5">
        <f t="shared" si="39"/>
        <v>0</v>
      </c>
      <c r="E80" s="2"/>
      <c r="F80" s="2">
        <v>0</v>
      </c>
      <c r="G80" s="5">
        <f t="shared" si="26"/>
        <v>0</v>
      </c>
      <c r="H80" s="2"/>
      <c r="I80" s="2">
        <v>0</v>
      </c>
    </row>
    <row r="81" spans="1:9" ht="56.25" x14ac:dyDescent="0.25">
      <c r="A81" s="115" t="s">
        <v>158</v>
      </c>
      <c r="B81" s="119">
        <v>853</v>
      </c>
      <c r="C81" s="119">
        <v>295</v>
      </c>
      <c r="D81" s="5">
        <f t="shared" si="39"/>
        <v>0</v>
      </c>
      <c r="E81" s="2"/>
      <c r="F81" s="2">
        <v>0</v>
      </c>
      <c r="G81" s="5">
        <f t="shared" si="26"/>
        <v>0</v>
      </c>
      <c r="H81" s="2"/>
      <c r="I81" s="2">
        <v>0</v>
      </c>
    </row>
    <row r="82" spans="1:9" ht="56.25" x14ac:dyDescent="0.25">
      <c r="A82" s="115" t="s">
        <v>34</v>
      </c>
      <c r="B82" s="119" t="s">
        <v>5</v>
      </c>
      <c r="C82" s="119">
        <v>296</v>
      </c>
      <c r="D82" s="5">
        <f t="shared" si="39"/>
        <v>0</v>
      </c>
      <c r="E82" s="2">
        <f t="shared" ref="E82" si="40">E83+E84+E85+E86+E88</f>
        <v>0</v>
      </c>
      <c r="F82" s="2">
        <f t="shared" ref="F82" si="41">F83+F84+F85+F86+F88</f>
        <v>0</v>
      </c>
      <c r="G82" s="5">
        <f t="shared" si="26"/>
        <v>0</v>
      </c>
      <c r="H82" s="2">
        <f t="shared" ref="H82" si="42">H83+H84+H85+H86+H88</f>
        <v>0</v>
      </c>
      <c r="I82" s="2">
        <f t="shared" ref="I82" si="43">I83+I84+I85+I86+I88</f>
        <v>0</v>
      </c>
    </row>
    <row r="83" spans="1:9" ht="18.75" x14ac:dyDescent="0.25">
      <c r="A83" s="224" t="s">
        <v>6</v>
      </c>
      <c r="B83" s="119">
        <v>244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4"/>
      <c r="B84" s="119">
        <v>340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4"/>
      <c r="B85" s="119">
        <v>350</v>
      </c>
      <c r="C85" s="119">
        <v>296</v>
      </c>
      <c r="D85" s="5">
        <f t="shared" si="39"/>
        <v>0</v>
      </c>
      <c r="E85" s="2"/>
      <c r="F85" s="2"/>
      <c r="G85" s="5">
        <f t="shared" si="26"/>
        <v>0</v>
      </c>
      <c r="H85" s="2"/>
      <c r="I85" s="2"/>
    </row>
    <row r="86" spans="1:9" ht="18.75" x14ac:dyDescent="0.25">
      <c r="A86" s="224"/>
      <c r="B86" s="119">
        <v>360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18.75" x14ac:dyDescent="0.25">
      <c r="A87" s="224"/>
      <c r="B87" s="208">
        <v>831</v>
      </c>
      <c r="C87" s="208">
        <v>296</v>
      </c>
      <c r="D87" s="5">
        <f t="shared" ref="D87" si="44">E87+F87</f>
        <v>0</v>
      </c>
      <c r="E87" s="2"/>
      <c r="F87" s="2"/>
      <c r="G87" s="5">
        <f t="shared" ref="G87" si="45">H87+I87</f>
        <v>0</v>
      </c>
      <c r="H87" s="2"/>
      <c r="I87" s="2"/>
    </row>
    <row r="88" spans="1:9" ht="18.75" x14ac:dyDescent="0.25">
      <c r="A88" s="224"/>
      <c r="B88" s="119">
        <v>853</v>
      </c>
      <c r="C88" s="119">
        <v>296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59.45" customHeight="1" x14ac:dyDescent="0.25">
      <c r="A89" s="115" t="s">
        <v>35</v>
      </c>
      <c r="B89" s="119" t="s">
        <v>5</v>
      </c>
      <c r="C89" s="119">
        <v>297</v>
      </c>
      <c r="D89" s="5">
        <f>E89+D92+F89</f>
        <v>0</v>
      </c>
      <c r="E89" s="5">
        <f t="shared" ref="E89:I89" si="46">F89+E92+G89</f>
        <v>0</v>
      </c>
      <c r="F89" s="5">
        <f>G89+F92+H89</f>
        <v>0</v>
      </c>
      <c r="G89" s="5">
        <f t="shared" si="46"/>
        <v>0</v>
      </c>
      <c r="H89" s="5">
        <f t="shared" si="46"/>
        <v>0</v>
      </c>
      <c r="I89" s="5">
        <f t="shared" si="46"/>
        <v>0</v>
      </c>
    </row>
    <row r="90" spans="1:9" ht="18.75" x14ac:dyDescent="0.25">
      <c r="A90" s="224" t="s">
        <v>6</v>
      </c>
      <c r="B90" s="119">
        <v>244</v>
      </c>
      <c r="C90" s="119">
        <v>297</v>
      </c>
      <c r="D90" s="5">
        <f t="shared" si="39"/>
        <v>0</v>
      </c>
      <c r="E90" s="2"/>
      <c r="F90" s="2"/>
      <c r="G90" s="5">
        <f t="shared" si="26"/>
        <v>0</v>
      </c>
      <c r="H90" s="2"/>
      <c r="I90" s="2"/>
    </row>
    <row r="91" spans="1:9" ht="18.75" x14ac:dyDescent="0.25">
      <c r="A91" s="224"/>
      <c r="B91" s="210">
        <v>613</v>
      </c>
      <c r="C91" s="210">
        <v>297</v>
      </c>
      <c r="D91" s="5">
        <f>E91+F91</f>
        <v>0</v>
      </c>
      <c r="E91" s="2"/>
      <c r="F91" s="2"/>
      <c r="G91" s="5">
        <f t="shared" ref="G91" si="47">H91+I91</f>
        <v>0</v>
      </c>
      <c r="H91" s="2"/>
      <c r="I91" s="2"/>
    </row>
    <row r="92" spans="1:9" ht="18.75" x14ac:dyDescent="0.25">
      <c r="A92" s="224"/>
      <c r="B92" s="191">
        <v>831</v>
      </c>
      <c r="C92" s="191">
        <v>297</v>
      </c>
      <c r="D92" s="5">
        <f t="shared" si="39"/>
        <v>0</v>
      </c>
      <c r="E92" s="2"/>
      <c r="F92" s="2"/>
      <c r="G92" s="5">
        <f>H92+I92</f>
        <v>0</v>
      </c>
      <c r="H92" s="2"/>
      <c r="I92" s="2"/>
    </row>
    <row r="93" spans="1:9" ht="18.75" x14ac:dyDescent="0.25">
      <c r="A93" s="224"/>
      <c r="B93" s="119">
        <v>853</v>
      </c>
      <c r="C93" s="119">
        <v>297</v>
      </c>
      <c r="D93" s="5">
        <f t="shared" si="39"/>
        <v>0</v>
      </c>
      <c r="E93" s="2"/>
      <c r="F93" s="2"/>
      <c r="G93" s="5">
        <f t="shared" si="26"/>
        <v>0</v>
      </c>
      <c r="H93" s="2"/>
      <c r="I93" s="2"/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39"/>
        <v>0</v>
      </c>
      <c r="E94" s="2">
        <f>E96+E98+E97</f>
        <v>0</v>
      </c>
      <c r="F94" s="2">
        <f>F96+F98+F97</f>
        <v>0</v>
      </c>
      <c r="G94" s="5">
        <f t="shared" si="26"/>
        <v>0</v>
      </c>
      <c r="H94" s="2">
        <f>H96+H98+H97</f>
        <v>0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si="39"/>
        <v>0</v>
      </c>
      <c r="E96" s="2"/>
      <c r="F96" s="2"/>
      <c r="G96" s="5">
        <f t="shared" ref="G96:G98" si="48">H96+I96</f>
        <v>0</v>
      </c>
      <c r="H96" s="2"/>
      <c r="I96" s="2"/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39"/>
        <v>0</v>
      </c>
      <c r="E97" s="2"/>
      <c r="F97" s="2"/>
      <c r="G97" s="5">
        <f t="shared" si="48"/>
        <v>0</v>
      </c>
      <c r="H97" s="2"/>
      <c r="I97" s="2"/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39"/>
        <v>0</v>
      </c>
      <c r="E98" s="2">
        <f>E100+E101+E102+E103+E104+E105+E106+E107</f>
        <v>0</v>
      </c>
      <c r="F98" s="2">
        <f>F100+F101+F102+F103+F104+F105+F106+F107</f>
        <v>0</v>
      </c>
      <c r="G98" s="5">
        <f t="shared" si="48"/>
        <v>0</v>
      </c>
      <c r="H98" s="2">
        <f>H100+H101+H102+H103+H104+H105+H106+H107</f>
        <v>0</v>
      </c>
      <c r="I98" s="2">
        <f>I100+I101+I102+I103+I104+I105+I106+I107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31.25" x14ac:dyDescent="0.25">
      <c r="A100" s="115" t="s">
        <v>37</v>
      </c>
      <c r="B100" s="119">
        <v>244</v>
      </c>
      <c r="C100" s="119">
        <v>341</v>
      </c>
      <c r="D100" s="5">
        <f t="shared" si="39"/>
        <v>0</v>
      </c>
      <c r="E100" s="2"/>
      <c r="F100" s="2"/>
      <c r="G100" s="5">
        <f t="shared" ref="G100:G108" si="49">H100+I100</f>
        <v>0</v>
      </c>
      <c r="H100" s="2"/>
      <c r="I100" s="2"/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40</v>
      </c>
      <c r="B103" s="119">
        <v>244</v>
      </c>
      <c r="C103" s="119">
        <v>344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56.25" x14ac:dyDescent="0.25">
      <c r="A104" s="115" t="s">
        <v>41</v>
      </c>
      <c r="B104" s="119">
        <v>244</v>
      </c>
      <c r="C104" s="119">
        <v>345</v>
      </c>
      <c r="D104" s="5">
        <f t="shared" si="39"/>
        <v>0</v>
      </c>
      <c r="E104" s="2"/>
      <c r="F104" s="2"/>
      <c r="G104" s="5">
        <f t="shared" si="49"/>
        <v>0</v>
      </c>
      <c r="H104" s="2"/>
      <c r="I104" s="2"/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112.5" x14ac:dyDescent="0.25">
      <c r="A106" s="170" t="s">
        <v>341</v>
      </c>
      <c r="B106" s="171">
        <v>244</v>
      </c>
      <c r="C106" s="171">
        <v>347</v>
      </c>
      <c r="D106" s="5">
        <f t="shared" ref="D106" si="50">E106+F106</f>
        <v>0</v>
      </c>
      <c r="E106" s="2"/>
      <c r="F106" s="2"/>
      <c r="G106" s="5">
        <f t="shared" ref="G106" si="51">H106+I106</f>
        <v>0</v>
      </c>
      <c r="H106" s="2"/>
      <c r="I106" s="2"/>
    </row>
    <row r="107" spans="1:9" ht="112.5" x14ac:dyDescent="0.25">
      <c r="A107" s="115" t="s">
        <v>43</v>
      </c>
      <c r="B107" s="119">
        <v>244</v>
      </c>
      <c r="C107" s="119">
        <v>349</v>
      </c>
      <c r="D107" s="5">
        <f t="shared" si="39"/>
        <v>0</v>
      </c>
      <c r="E107" s="2"/>
      <c r="F107" s="2"/>
      <c r="G107" s="5">
        <f t="shared" si="49"/>
        <v>0</v>
      </c>
      <c r="H107" s="2"/>
      <c r="I107" s="2"/>
    </row>
    <row r="108" spans="1:9" ht="56.25" x14ac:dyDescent="0.25">
      <c r="A108" s="115" t="s">
        <v>67</v>
      </c>
      <c r="B108" s="119" t="s">
        <v>5</v>
      </c>
      <c r="C108" s="119" t="s">
        <v>5</v>
      </c>
      <c r="D108" s="5">
        <f t="shared" si="39"/>
        <v>0</v>
      </c>
      <c r="E108" s="2">
        <f t="shared" ref="E108" si="52">E110+E111+E112</f>
        <v>0</v>
      </c>
      <c r="F108" s="2">
        <f t="shared" ref="F108" si="53">F110+F111+F112</f>
        <v>0</v>
      </c>
      <c r="G108" s="5">
        <f t="shared" si="49"/>
        <v>0</v>
      </c>
      <c r="H108" s="2">
        <f t="shared" ref="H108" si="54">H110+H111+H112</f>
        <v>0</v>
      </c>
      <c r="I108" s="2">
        <f t="shared" ref="I108" si="55">I110+I111+I112</f>
        <v>0</v>
      </c>
    </row>
    <row r="109" spans="1:9" ht="18.75" x14ac:dyDescent="0.25">
      <c r="A109" s="115" t="s">
        <v>6</v>
      </c>
      <c r="B109" s="119"/>
      <c r="C109" s="119"/>
      <c r="D109" s="5"/>
      <c r="E109" s="2"/>
      <c r="F109" s="2"/>
      <c r="G109" s="5"/>
      <c r="H109" s="2"/>
      <c r="I109" s="2"/>
    </row>
    <row r="110" spans="1:9" ht="18.75" x14ac:dyDescent="0.25">
      <c r="A110" s="115" t="s">
        <v>194</v>
      </c>
      <c r="B110" s="119">
        <v>180</v>
      </c>
      <c r="C110" s="119" t="s">
        <v>5</v>
      </c>
      <c r="D110" s="5">
        <f t="shared" si="39"/>
        <v>0</v>
      </c>
      <c r="E110" s="2"/>
      <c r="F110" s="2"/>
      <c r="G110" s="5">
        <f t="shared" ref="G110:G112" si="56">H110+I110</f>
        <v>0</v>
      </c>
      <c r="H110" s="2"/>
      <c r="I110" s="2"/>
    </row>
    <row r="111" spans="1:9" ht="56.25" x14ac:dyDescent="0.25">
      <c r="A111" s="115" t="s">
        <v>195</v>
      </c>
      <c r="B111" s="119">
        <v>180</v>
      </c>
      <c r="C111" s="119" t="s">
        <v>5</v>
      </c>
      <c r="D111" s="5">
        <f t="shared" si="39"/>
        <v>0</v>
      </c>
      <c r="E111" s="2"/>
      <c r="F111" s="2"/>
      <c r="G111" s="5">
        <f t="shared" si="56"/>
        <v>0</v>
      </c>
      <c r="H111" s="2"/>
      <c r="I111" s="2"/>
    </row>
    <row r="112" spans="1:9" ht="57" thickBot="1" x14ac:dyDescent="0.3">
      <c r="A112" s="32" t="s">
        <v>196</v>
      </c>
      <c r="B112" s="33">
        <v>180</v>
      </c>
      <c r="C112" s="33" t="s">
        <v>5</v>
      </c>
      <c r="D112" s="34">
        <f t="shared" si="39"/>
        <v>0</v>
      </c>
      <c r="E112" s="35"/>
      <c r="F112" s="35"/>
      <c r="G112" s="34">
        <f t="shared" si="56"/>
        <v>0</v>
      </c>
      <c r="H112" s="35"/>
      <c r="I112" s="35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52</v>
      </c>
      <c r="B115" s="227"/>
      <c r="C115" s="227"/>
      <c r="D115" s="10"/>
      <c r="E115" s="227"/>
      <c r="F115" s="227"/>
    </row>
    <row r="116" spans="1:16" ht="18.75" x14ac:dyDescent="0.3">
      <c r="A116" s="29"/>
      <c r="B116" s="226" t="s">
        <v>53</v>
      </c>
      <c r="C116" s="226"/>
      <c r="D116" s="10"/>
      <c r="E116" s="226" t="s">
        <v>54</v>
      </c>
      <c r="F116" s="226"/>
    </row>
    <row r="117" spans="1:16" ht="18.75" x14ac:dyDescent="0.3">
      <c r="A117" s="29"/>
      <c r="B117" s="10"/>
      <c r="C117" s="10"/>
      <c r="D117" s="10"/>
      <c r="E117" s="10"/>
      <c r="F117" s="10"/>
    </row>
    <row r="118" spans="1:16" ht="37.5" x14ac:dyDescent="0.3">
      <c r="A118" s="29" t="s">
        <v>55</v>
      </c>
      <c r="B118" s="227"/>
      <c r="C118" s="227"/>
      <c r="D118" s="10"/>
      <c r="E118" s="227"/>
      <c r="F118" s="227"/>
    </row>
    <row r="119" spans="1:16" ht="18.75" x14ac:dyDescent="0.3">
      <c r="A119" s="29"/>
      <c r="B119" s="226" t="s">
        <v>53</v>
      </c>
      <c r="C119" s="226"/>
      <c r="D119" s="10"/>
      <c r="E119" s="226" t="s">
        <v>54</v>
      </c>
      <c r="F119" s="226"/>
    </row>
    <row r="120" spans="1:16" ht="18.75" x14ac:dyDescent="0.3">
      <c r="A120" s="29"/>
      <c r="B120" s="116"/>
      <c r="C120" s="116"/>
      <c r="D120" s="10"/>
      <c r="E120" s="116"/>
      <c r="F120" s="116"/>
    </row>
    <row r="121" spans="1:16" ht="18.75" x14ac:dyDescent="0.3">
      <c r="A121" s="29" t="s">
        <v>56</v>
      </c>
      <c r="B121" s="227"/>
      <c r="C121" s="227"/>
      <c r="D121" s="10"/>
      <c r="E121" s="227"/>
      <c r="F121" s="227"/>
    </row>
    <row r="122" spans="1:16" ht="18.75" x14ac:dyDescent="0.3">
      <c r="A122" s="29"/>
      <c r="B122" s="226" t="s">
        <v>53</v>
      </c>
      <c r="C122" s="226"/>
      <c r="D122" s="10"/>
      <c r="E122" s="226" t="s">
        <v>54</v>
      </c>
      <c r="F122" s="226"/>
    </row>
    <row r="123" spans="1:16" ht="18.75" x14ac:dyDescent="0.3">
      <c r="A123" s="29" t="s">
        <v>57</v>
      </c>
      <c r="B123" s="10"/>
      <c r="C123" s="10"/>
      <c r="D123" s="10"/>
      <c r="E123" s="10"/>
      <c r="F123" s="10"/>
    </row>
    <row r="124" spans="1:16" ht="18.75" x14ac:dyDescent="0.3">
      <c r="A124" s="225" t="s">
        <v>44</v>
      </c>
      <c r="B124" s="225"/>
      <c r="C124" s="10"/>
      <c r="D124" s="10"/>
      <c r="E124" s="10"/>
      <c r="F124" s="10"/>
    </row>
    <row r="125" spans="1:16" ht="18.75" x14ac:dyDescent="0.25">
      <c r="A125" s="325" t="s">
        <v>192</v>
      </c>
      <c r="B125" s="325"/>
      <c r="C125" s="325"/>
      <c r="D125" s="325"/>
      <c r="E125" s="325"/>
      <c r="F125" s="325"/>
      <c r="G125" s="325"/>
      <c r="H125" s="325"/>
      <c r="I125" s="325"/>
      <c r="K125" s="324" t="s">
        <v>233</v>
      </c>
      <c r="L125" s="324"/>
      <c r="M125" s="324"/>
      <c r="N125" s="324" t="s">
        <v>234</v>
      </c>
      <c r="O125" s="324"/>
      <c r="P125" s="324"/>
    </row>
    <row r="126" spans="1:16" ht="45" x14ac:dyDescent="0.25">
      <c r="A126" s="54" t="s">
        <v>236</v>
      </c>
      <c r="B126" s="58" t="s">
        <v>5</v>
      </c>
      <c r="C126" s="58" t="s">
        <v>5</v>
      </c>
      <c r="D126" s="5">
        <f t="shared" ref="D126:D127" si="57">E126+F126</f>
        <v>0</v>
      </c>
      <c r="E126" s="2"/>
      <c r="F126" s="4"/>
      <c r="G126" s="5">
        <f t="shared" ref="G126:G127" si="58">H126+I126</f>
        <v>0</v>
      </c>
      <c r="H126" s="2"/>
      <c r="I126" s="4"/>
      <c r="J126" s="36"/>
      <c r="K126" s="71" t="s">
        <v>230</v>
      </c>
      <c r="L126" s="71" t="s">
        <v>231</v>
      </c>
      <c r="M126" s="71" t="s">
        <v>232</v>
      </c>
      <c r="N126" s="71" t="s">
        <v>230</v>
      </c>
      <c r="O126" s="71" t="s">
        <v>231</v>
      </c>
      <c r="P126" s="71" t="s">
        <v>232</v>
      </c>
    </row>
    <row r="127" spans="1:16" ht="18.75" x14ac:dyDescent="0.25">
      <c r="A127" s="54" t="s">
        <v>7</v>
      </c>
      <c r="B127" s="58" t="s">
        <v>5</v>
      </c>
      <c r="C127" s="58">
        <v>900</v>
      </c>
      <c r="D127" s="5">
        <f t="shared" si="57"/>
        <v>0</v>
      </c>
      <c r="E127" s="2">
        <f>E130+E159+E174+E203</f>
        <v>0</v>
      </c>
      <c r="F127" s="2">
        <f>F130+F159</f>
        <v>0</v>
      </c>
      <c r="G127" s="5">
        <f t="shared" si="58"/>
        <v>0</v>
      </c>
      <c r="H127" s="2">
        <f>H130+H159+H174+H203</f>
        <v>0</v>
      </c>
      <c r="I127" s="2">
        <f>I130+I159</f>
        <v>0</v>
      </c>
      <c r="J127" s="36"/>
      <c r="K127" s="72">
        <f>E31+E32+E33+E35+E41+E55+E56+E57+E66+E69+E70+E72+E76+E77+E78+E79+E80+E81+E84+E85+E86+E88+E93</f>
        <v>0</v>
      </c>
      <c r="L127" s="72">
        <f>K127+D127</f>
        <v>0</v>
      </c>
      <c r="M127" s="72">
        <f>L127-E25</f>
        <v>0</v>
      </c>
      <c r="N127" s="72">
        <f>H31+H32+H33+H35+H41+H55+H56+H57+H66+H69+H70+H72+H76+H77+H78+H79+H80+H81+H84+H85+H86+H88+H93</f>
        <v>0</v>
      </c>
      <c r="O127" s="72">
        <f>N127+G127</f>
        <v>0</v>
      </c>
      <c r="P127" s="72">
        <f>O127-H25</f>
        <v>0</v>
      </c>
    </row>
    <row r="128" spans="1:16" ht="18.75" x14ac:dyDescent="0.25">
      <c r="A128" s="54" t="s">
        <v>6</v>
      </c>
      <c r="B128" s="58"/>
      <c r="C128" s="58"/>
      <c r="D128" s="5"/>
      <c r="E128" s="2"/>
      <c r="F128" s="4"/>
      <c r="G128" s="5"/>
      <c r="H128" s="2"/>
      <c r="I128" s="4"/>
      <c r="J128" s="36"/>
      <c r="K128" s="36"/>
      <c r="L128" s="36"/>
    </row>
    <row r="129" spans="1:12" ht="17.45" customHeight="1" x14ac:dyDescent="0.25">
      <c r="A129" s="326" t="s">
        <v>200</v>
      </c>
      <c r="B129" s="327"/>
      <c r="C129" s="327"/>
      <c r="D129" s="327"/>
      <c r="E129" s="327"/>
      <c r="F129" s="327"/>
      <c r="G129" s="327"/>
      <c r="H129" s="327"/>
      <c r="I129" s="327"/>
      <c r="J129" s="76"/>
      <c r="K129" s="76"/>
      <c r="L129" s="76"/>
    </row>
    <row r="130" spans="1:12" ht="18.75" x14ac:dyDescent="0.25">
      <c r="A130" s="54" t="s">
        <v>8</v>
      </c>
      <c r="B130" s="58" t="s">
        <v>5</v>
      </c>
      <c r="C130" s="58">
        <v>200</v>
      </c>
      <c r="D130" s="5">
        <f t="shared" ref="D130:D163" si="59">E130+F130</f>
        <v>0</v>
      </c>
      <c r="E130" s="2">
        <f>E132+E135+E155</f>
        <v>0</v>
      </c>
      <c r="F130" s="2">
        <f>F132+F135+F155</f>
        <v>0</v>
      </c>
      <c r="G130" s="5">
        <f t="shared" ref="G130" si="60">H130+I130</f>
        <v>0</v>
      </c>
      <c r="H130" s="2">
        <f>H132+H135+H155</f>
        <v>0</v>
      </c>
      <c r="I130" s="2">
        <f>I132+I135+I155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75" x14ac:dyDescent="0.25">
      <c r="A132" s="54" t="s">
        <v>10</v>
      </c>
      <c r="B132" s="58" t="s">
        <v>5</v>
      </c>
      <c r="C132" s="58">
        <v>210</v>
      </c>
      <c r="D132" s="5">
        <f t="shared" si="59"/>
        <v>0</v>
      </c>
      <c r="E132" s="2">
        <f>E134</f>
        <v>0</v>
      </c>
      <c r="F132" s="2">
        <f>F134</f>
        <v>0</v>
      </c>
      <c r="G132" s="5">
        <f t="shared" ref="G132" si="61">H132+I132</f>
        <v>0</v>
      </c>
      <c r="H132" s="2">
        <f>H134</f>
        <v>0</v>
      </c>
      <c r="I132" s="2">
        <f>I134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93.75" x14ac:dyDescent="0.25">
      <c r="A134" s="54" t="s">
        <v>201</v>
      </c>
      <c r="B134" s="58">
        <v>244</v>
      </c>
      <c r="C134" s="58">
        <v>214</v>
      </c>
      <c r="D134" s="5">
        <f>E134+F134</f>
        <v>0</v>
      </c>
      <c r="E134" s="2"/>
      <c r="F134" s="2"/>
      <c r="G134" s="5">
        <f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14</v>
      </c>
      <c r="B135" s="58" t="s">
        <v>5</v>
      </c>
      <c r="C135" s="58">
        <v>220</v>
      </c>
      <c r="D135" s="5">
        <f t="shared" si="59"/>
        <v>0</v>
      </c>
      <c r="E135" s="2">
        <f>E137+E138+E139+E146+E147+E150+E153+E154</f>
        <v>0</v>
      </c>
      <c r="F135" s="2">
        <f>F137+F138+F139+F146+F147+F150+F153+F154</f>
        <v>0</v>
      </c>
      <c r="G135" s="5">
        <f t="shared" ref="G135" si="62">H135+I135</f>
        <v>0</v>
      </c>
      <c r="H135" s="2">
        <f>H137+H138+H139+H146+H147+H150+H153+H154</f>
        <v>0</v>
      </c>
      <c r="I135" s="2">
        <f>I137+I138+I139+I146+I147+I150+I153+I154</f>
        <v>0</v>
      </c>
      <c r="J135" s="36"/>
      <c r="K135" s="36"/>
      <c r="L135" s="36"/>
    </row>
    <row r="136" spans="1:12" ht="18.75" x14ac:dyDescent="0.25">
      <c r="A136" s="54" t="s">
        <v>9</v>
      </c>
      <c r="B136" s="58"/>
      <c r="C136" s="58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18.75" x14ac:dyDescent="0.25">
      <c r="A137" s="54" t="s">
        <v>15</v>
      </c>
      <c r="B137" s="58">
        <v>244</v>
      </c>
      <c r="C137" s="58">
        <v>221</v>
      </c>
      <c r="D137" s="5">
        <f t="shared" si="59"/>
        <v>0</v>
      </c>
      <c r="E137" s="2"/>
      <c r="F137" s="2"/>
      <c r="G137" s="5">
        <f t="shared" ref="G137:G139" si="63">H137+I137</f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16</v>
      </c>
      <c r="B138" s="58">
        <v>244</v>
      </c>
      <c r="C138" s="58">
        <v>222</v>
      </c>
      <c r="D138" s="5">
        <f t="shared" si="59"/>
        <v>0</v>
      </c>
      <c r="E138" s="2"/>
      <c r="F138" s="2"/>
      <c r="G138" s="5">
        <f t="shared" si="63"/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17</v>
      </c>
      <c r="B139" s="58" t="s">
        <v>5</v>
      </c>
      <c r="C139" s="58">
        <v>223</v>
      </c>
      <c r="D139" s="5">
        <f t="shared" si="59"/>
        <v>0</v>
      </c>
      <c r="E139" s="2">
        <f t="shared" ref="E139:F139" si="64">E141+E142+E143+E144+E145</f>
        <v>0</v>
      </c>
      <c r="F139" s="2">
        <f t="shared" si="64"/>
        <v>0</v>
      </c>
      <c r="G139" s="5">
        <f t="shared" si="63"/>
        <v>0</v>
      </c>
      <c r="H139" s="2">
        <f t="shared" ref="H139:I139" si="65">H141+H142+H143+H144+H145</f>
        <v>0</v>
      </c>
      <c r="I139" s="2">
        <f t="shared" si="65"/>
        <v>0</v>
      </c>
      <c r="J139" s="36"/>
      <c r="K139" s="36"/>
      <c r="L139" s="36"/>
    </row>
    <row r="140" spans="1:12" ht="18.75" x14ac:dyDescent="0.25">
      <c r="A140" s="54" t="s">
        <v>6</v>
      </c>
      <c r="B140" s="58"/>
      <c r="C140" s="58"/>
      <c r="D140" s="5"/>
      <c r="E140" s="2"/>
      <c r="F140" s="2"/>
      <c r="G140" s="5"/>
      <c r="H140" s="2"/>
      <c r="I140" s="2"/>
      <c r="J140" s="36"/>
      <c r="K140" s="36"/>
      <c r="L140" s="36"/>
    </row>
    <row r="141" spans="1:12" ht="56.25" x14ac:dyDescent="0.25">
      <c r="A141" s="54" t="s">
        <v>18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ref="G141:G146" si="66">H141+I141</f>
        <v>0</v>
      </c>
      <c r="H141" s="2"/>
      <c r="I141" s="2"/>
      <c r="J141" s="36"/>
      <c r="K141" s="36"/>
      <c r="L141" s="36"/>
    </row>
    <row r="142" spans="1:12" ht="37.5" x14ac:dyDescent="0.25">
      <c r="A142" s="54" t="s">
        <v>19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20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75" x14ac:dyDescent="0.25">
      <c r="A144" s="54" t="s">
        <v>21</v>
      </c>
      <c r="B144" s="58">
        <v>244</v>
      </c>
      <c r="C144" s="58">
        <v>223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22</v>
      </c>
      <c r="B145" s="58">
        <v>244</v>
      </c>
      <c r="C145" s="58">
        <v>223</v>
      </c>
      <c r="D145" s="5">
        <f t="shared" si="59"/>
        <v>0</v>
      </c>
      <c r="E145" s="2"/>
      <c r="F145" s="2"/>
      <c r="G145" s="5">
        <f t="shared" si="66"/>
        <v>0</v>
      </c>
      <c r="H145" s="2"/>
      <c r="I145" s="2"/>
      <c r="J145" s="36"/>
      <c r="K145" s="36"/>
      <c r="L145" s="36"/>
    </row>
    <row r="146" spans="1:12" ht="168.75" x14ac:dyDescent="0.25">
      <c r="A146" s="54" t="s">
        <v>23</v>
      </c>
      <c r="B146" s="58">
        <v>244</v>
      </c>
      <c r="C146" s="58">
        <v>224</v>
      </c>
      <c r="D146" s="5">
        <f t="shared" si="59"/>
        <v>0</v>
      </c>
      <c r="E146" s="2"/>
      <c r="F146" s="2"/>
      <c r="G146" s="5">
        <f t="shared" si="66"/>
        <v>0</v>
      </c>
      <c r="H146" s="2"/>
      <c r="I146" s="2"/>
      <c r="J146" s="36"/>
      <c r="K146" s="36"/>
      <c r="L146" s="36"/>
    </row>
    <row r="147" spans="1:12" ht="56.25" x14ac:dyDescent="0.25">
      <c r="A147" s="54" t="s">
        <v>24</v>
      </c>
      <c r="B147" s="58" t="s">
        <v>5</v>
      </c>
      <c r="C147" s="58">
        <v>225</v>
      </c>
      <c r="D147" s="2">
        <f t="shared" ref="D147:G147" si="67">D148+D149</f>
        <v>0</v>
      </c>
      <c r="E147" s="2">
        <f>E148+E149</f>
        <v>0</v>
      </c>
      <c r="F147" s="2">
        <f t="shared" si="67"/>
        <v>0</v>
      </c>
      <c r="G147" s="2">
        <f t="shared" si="67"/>
        <v>0</v>
      </c>
      <c r="H147" s="2">
        <f>H148+H149</f>
        <v>0</v>
      </c>
      <c r="I147" s="2">
        <f t="shared" ref="I147" si="68">I148+I149</f>
        <v>0</v>
      </c>
      <c r="J147" s="36"/>
      <c r="K147" s="36"/>
      <c r="L147" s="36"/>
    </row>
    <row r="148" spans="1:12" ht="18.75" x14ac:dyDescent="0.25">
      <c r="A148" s="224" t="s">
        <v>6</v>
      </c>
      <c r="B148" s="58">
        <v>243</v>
      </c>
      <c r="C148" s="58">
        <v>225</v>
      </c>
      <c r="D148" s="5">
        <f t="shared" si="59"/>
        <v>0</v>
      </c>
      <c r="E148" s="2"/>
      <c r="F148" s="2"/>
      <c r="G148" s="5">
        <f t="shared" ref="G148:G159" si="69">H148+I148</f>
        <v>0</v>
      </c>
      <c r="H148" s="2"/>
      <c r="I148" s="2"/>
      <c r="J148" s="36"/>
      <c r="K148" s="36"/>
      <c r="L148" s="36"/>
    </row>
    <row r="149" spans="1:12" ht="18.75" x14ac:dyDescent="0.25">
      <c r="A149" s="224"/>
      <c r="B149" s="58">
        <v>244</v>
      </c>
      <c r="C149" s="58">
        <v>225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37.5" x14ac:dyDescent="0.25">
      <c r="A150" s="54" t="s">
        <v>58</v>
      </c>
      <c r="B150" s="58" t="s">
        <v>5</v>
      </c>
      <c r="C150" s="58">
        <v>226</v>
      </c>
      <c r="D150" s="5">
        <f t="shared" si="59"/>
        <v>0</v>
      </c>
      <c r="E150" s="2">
        <f>E151+E152</f>
        <v>0</v>
      </c>
      <c r="F150" s="2">
        <f>F151+F152</f>
        <v>0</v>
      </c>
      <c r="G150" s="5">
        <f t="shared" si="69"/>
        <v>0</v>
      </c>
      <c r="H150" s="2">
        <f>H151+H152</f>
        <v>0</v>
      </c>
      <c r="I150" s="2">
        <f>I151+I152</f>
        <v>0</v>
      </c>
      <c r="J150" s="36"/>
      <c r="K150" s="36"/>
      <c r="L150" s="36"/>
    </row>
    <row r="151" spans="1:12" ht="18.75" x14ac:dyDescent="0.25">
      <c r="A151" s="224" t="s">
        <v>6</v>
      </c>
      <c r="B151" s="58">
        <v>243</v>
      </c>
      <c r="C151" s="58">
        <v>226</v>
      </c>
      <c r="D151" s="5">
        <f t="shared" si="59"/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18.75" x14ac:dyDescent="0.25">
      <c r="A152" s="224"/>
      <c r="B152" s="58">
        <v>244</v>
      </c>
      <c r="C152" s="58">
        <v>226</v>
      </c>
      <c r="D152" s="5">
        <f t="shared" si="59"/>
        <v>0</v>
      </c>
      <c r="E152" s="2"/>
      <c r="F152" s="2"/>
      <c r="G152" s="5">
        <f t="shared" si="69"/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25</v>
      </c>
      <c r="B153" s="58">
        <v>244</v>
      </c>
      <c r="C153" s="58">
        <v>227</v>
      </c>
      <c r="D153" s="5">
        <f>E153+F153</f>
        <v>0</v>
      </c>
      <c r="E153" s="2"/>
      <c r="F153" s="2"/>
      <c r="G153" s="5">
        <f t="shared" si="69"/>
        <v>0</v>
      </c>
      <c r="H153" s="2"/>
      <c r="I153" s="2"/>
      <c r="J153" s="36"/>
      <c r="K153" s="36"/>
      <c r="L153" s="36"/>
    </row>
    <row r="154" spans="1:12" ht="56.25" x14ac:dyDescent="0.25">
      <c r="A154" s="170" t="s">
        <v>340</v>
      </c>
      <c r="B154" s="171">
        <v>244</v>
      </c>
      <c r="C154" s="171">
        <v>228</v>
      </c>
      <c r="D154" s="5">
        <f>E154+F154</f>
        <v>0</v>
      </c>
      <c r="E154" s="2"/>
      <c r="F154" s="2"/>
      <c r="G154" s="5">
        <f t="shared" ref="G154" si="70">H154+I154</f>
        <v>0</v>
      </c>
      <c r="H154" s="2"/>
      <c r="I154" s="2"/>
      <c r="J154" s="36"/>
      <c r="K154" s="36"/>
      <c r="L154" s="36"/>
    </row>
    <row r="155" spans="1:12" ht="18.75" x14ac:dyDescent="0.25">
      <c r="A155" s="54" t="s">
        <v>30</v>
      </c>
      <c r="B155" s="58" t="s">
        <v>5</v>
      </c>
      <c r="C155" s="58">
        <v>290</v>
      </c>
      <c r="D155" s="5">
        <f t="shared" si="59"/>
        <v>0</v>
      </c>
      <c r="E155" s="2">
        <f>E157+E158</f>
        <v>0</v>
      </c>
      <c r="F155" s="2">
        <f>F157+F158</f>
        <v>0</v>
      </c>
      <c r="G155" s="5">
        <f t="shared" si="69"/>
        <v>0</v>
      </c>
      <c r="H155" s="2">
        <f>H157+H158</f>
        <v>0</v>
      </c>
      <c r="I155" s="2">
        <f>I157+I158</f>
        <v>0</v>
      </c>
      <c r="J155" s="36"/>
      <c r="K155" s="36"/>
      <c r="L155" s="36"/>
    </row>
    <row r="156" spans="1:12" ht="18.75" x14ac:dyDescent="0.25">
      <c r="A156" s="54" t="s">
        <v>9</v>
      </c>
      <c r="B156" s="58"/>
      <c r="C156" s="58"/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34</v>
      </c>
      <c r="B157" s="58">
        <v>244</v>
      </c>
      <c r="C157" s="58">
        <v>296</v>
      </c>
      <c r="D157" s="5">
        <f t="shared" si="59"/>
        <v>0</v>
      </c>
      <c r="E157" s="2"/>
      <c r="F157" s="2"/>
      <c r="G157" s="5">
        <f t="shared" si="69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35</v>
      </c>
      <c r="B158" s="58">
        <v>244</v>
      </c>
      <c r="C158" s="58">
        <v>297</v>
      </c>
      <c r="D158" s="5">
        <f t="shared" si="59"/>
        <v>0</v>
      </c>
      <c r="E158" s="2"/>
      <c r="F158" s="2"/>
      <c r="G158" s="5">
        <f t="shared" si="69"/>
        <v>0</v>
      </c>
      <c r="H158" s="2"/>
      <c r="I158" s="2"/>
      <c r="J158" s="36"/>
      <c r="K158" s="36"/>
      <c r="L158" s="36"/>
    </row>
    <row r="159" spans="1:12" ht="56.25" x14ac:dyDescent="0.25">
      <c r="A159" s="54" t="s">
        <v>59</v>
      </c>
      <c r="B159" s="58" t="s">
        <v>5</v>
      </c>
      <c r="C159" s="58">
        <v>300</v>
      </c>
      <c r="D159" s="5">
        <f t="shared" si="59"/>
        <v>0</v>
      </c>
      <c r="E159" s="2">
        <f>E161+E163+E162</f>
        <v>0</v>
      </c>
      <c r="F159" s="2">
        <f>F161+F163+F162</f>
        <v>0</v>
      </c>
      <c r="G159" s="5">
        <f t="shared" si="69"/>
        <v>0</v>
      </c>
      <c r="H159" s="2">
        <f>H161+H163+H162</f>
        <v>0</v>
      </c>
      <c r="I159" s="2">
        <f>I161+I163+I162</f>
        <v>0</v>
      </c>
      <c r="J159" s="36"/>
      <c r="K159" s="36"/>
      <c r="L159" s="36"/>
    </row>
    <row r="160" spans="1:12" ht="18.75" x14ac:dyDescent="0.25">
      <c r="A160" s="54" t="s">
        <v>9</v>
      </c>
      <c r="B160" s="58"/>
      <c r="C160" s="58"/>
      <c r="D160" s="5"/>
      <c r="E160" s="2"/>
      <c r="F160" s="2"/>
      <c r="G160" s="5"/>
      <c r="H160" s="2"/>
      <c r="I160" s="2"/>
      <c r="J160" s="36"/>
      <c r="K160" s="36"/>
      <c r="L160" s="36"/>
    </row>
    <row r="161" spans="1:12" ht="56.25" x14ac:dyDescent="0.25">
      <c r="A161" s="54" t="s">
        <v>36</v>
      </c>
      <c r="B161" s="58">
        <v>244</v>
      </c>
      <c r="C161" s="58">
        <v>310</v>
      </c>
      <c r="D161" s="5">
        <f t="shared" si="59"/>
        <v>0</v>
      </c>
      <c r="E161" s="2"/>
      <c r="F161" s="2"/>
      <c r="G161" s="5">
        <f t="shared" ref="G161:G163" si="71">H161+I161</f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68</v>
      </c>
      <c r="B162" s="58">
        <v>244</v>
      </c>
      <c r="C162" s="58">
        <v>320</v>
      </c>
      <c r="D162" s="5">
        <f t="shared" si="59"/>
        <v>0</v>
      </c>
      <c r="E162" s="2"/>
      <c r="F162" s="2"/>
      <c r="G162" s="5">
        <f t="shared" si="71"/>
        <v>0</v>
      </c>
      <c r="H162" s="2"/>
      <c r="I162" s="2"/>
      <c r="J162" s="36"/>
      <c r="K162" s="36"/>
      <c r="L162" s="36"/>
    </row>
    <row r="163" spans="1:12" ht="75" x14ac:dyDescent="0.25">
      <c r="A163" s="54" t="s">
        <v>60</v>
      </c>
      <c r="B163" s="58" t="s">
        <v>5</v>
      </c>
      <c r="C163" s="58">
        <v>340</v>
      </c>
      <c r="D163" s="5">
        <f t="shared" si="59"/>
        <v>0</v>
      </c>
      <c r="E163" s="2">
        <f>E165+E166+E167+E168+E169+E170+E171+E172</f>
        <v>0</v>
      </c>
      <c r="F163" s="2">
        <f>F165+F166+F167+F168+F169+F170+F171+F172</f>
        <v>0</v>
      </c>
      <c r="G163" s="5">
        <f t="shared" si="71"/>
        <v>0</v>
      </c>
      <c r="H163" s="2">
        <f>H165+H166+H167+H168+H169+H171+H170+H172</f>
        <v>0</v>
      </c>
      <c r="I163" s="2">
        <f>I165+I166+I167+I168+I169+I171+I170+I172</f>
        <v>0</v>
      </c>
      <c r="J163" s="36"/>
      <c r="K163" s="36"/>
      <c r="L163" s="36"/>
    </row>
    <row r="164" spans="1:12" ht="18.75" x14ac:dyDescent="0.25">
      <c r="A164" s="54" t="s">
        <v>6</v>
      </c>
      <c r="B164" s="58"/>
      <c r="C164" s="58"/>
      <c r="D164" s="5"/>
      <c r="E164" s="2"/>
      <c r="F164" s="2"/>
      <c r="G164" s="5"/>
      <c r="H164" s="2"/>
      <c r="I164" s="2"/>
      <c r="J164" s="36"/>
      <c r="K164" s="36"/>
      <c r="L164" s="36"/>
    </row>
    <row r="165" spans="1:12" ht="131.25" x14ac:dyDescent="0.25">
      <c r="A165" s="54" t="s">
        <v>37</v>
      </c>
      <c r="B165" s="58">
        <v>244</v>
      </c>
      <c r="C165" s="58">
        <v>341</v>
      </c>
      <c r="D165" s="5">
        <f t="shared" ref="D165:D172" si="72">E165+F165</f>
        <v>0</v>
      </c>
      <c r="E165" s="2"/>
      <c r="F165" s="2"/>
      <c r="G165" s="5">
        <f t="shared" ref="G165:G172" si="73">H165+I165</f>
        <v>0</v>
      </c>
      <c r="H165" s="2"/>
      <c r="I165" s="2"/>
      <c r="J165" s="36"/>
      <c r="K165" s="36"/>
      <c r="L165" s="36"/>
    </row>
    <row r="166" spans="1:12" ht="56.25" x14ac:dyDescent="0.25">
      <c r="A166" s="54" t="s">
        <v>38</v>
      </c>
      <c r="B166" s="58">
        <v>244</v>
      </c>
      <c r="C166" s="58">
        <v>342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39</v>
      </c>
      <c r="B167" s="58">
        <v>244</v>
      </c>
      <c r="C167" s="58">
        <v>343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40</v>
      </c>
      <c r="B168" s="58">
        <v>244</v>
      </c>
      <c r="C168" s="58">
        <v>344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56.25" x14ac:dyDescent="0.25">
      <c r="A169" s="54" t="s">
        <v>41</v>
      </c>
      <c r="B169" s="58">
        <v>244</v>
      </c>
      <c r="C169" s="58">
        <v>345</v>
      </c>
      <c r="D169" s="5">
        <f t="shared" si="72"/>
        <v>0</v>
      </c>
      <c r="E169" s="2"/>
      <c r="F169" s="2"/>
      <c r="G169" s="5">
        <f t="shared" si="73"/>
        <v>0</v>
      </c>
      <c r="H169" s="2"/>
      <c r="I169" s="2"/>
      <c r="J169" s="36"/>
      <c r="K169" s="36"/>
      <c r="L169" s="36"/>
    </row>
    <row r="170" spans="1:12" ht="75" x14ac:dyDescent="0.25">
      <c r="A170" s="54" t="s">
        <v>42</v>
      </c>
      <c r="B170" s="58">
        <v>244</v>
      </c>
      <c r="C170" s="58">
        <v>346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12.5" x14ac:dyDescent="0.25">
      <c r="A171" s="170" t="s">
        <v>341</v>
      </c>
      <c r="B171" s="171">
        <v>244</v>
      </c>
      <c r="C171" s="171">
        <v>347</v>
      </c>
      <c r="D171" s="5">
        <f t="shared" ref="D171" si="74">E171+F171</f>
        <v>0</v>
      </c>
      <c r="E171" s="2"/>
      <c r="F171" s="2"/>
      <c r="G171" s="5">
        <f t="shared" ref="G171" si="75">H171+I171</f>
        <v>0</v>
      </c>
      <c r="H171" s="2"/>
      <c r="I171" s="2"/>
      <c r="J171" s="36"/>
      <c r="K171" s="36"/>
      <c r="L171" s="36"/>
    </row>
    <row r="172" spans="1:12" ht="112.5" x14ac:dyDescent="0.25">
      <c r="A172" s="54" t="s">
        <v>43</v>
      </c>
      <c r="B172" s="58">
        <v>244</v>
      </c>
      <c r="C172" s="58">
        <v>349</v>
      </c>
      <c r="D172" s="5">
        <f t="shared" si="72"/>
        <v>0</v>
      </c>
      <c r="E172" s="2"/>
      <c r="F172" s="2"/>
      <c r="G172" s="5">
        <f t="shared" si="73"/>
        <v>0</v>
      </c>
      <c r="H172" s="2"/>
      <c r="I172" s="2"/>
      <c r="J172" s="36"/>
      <c r="K172" s="36"/>
      <c r="L172" s="36"/>
    </row>
    <row r="173" spans="1:12" ht="17.45" customHeight="1" x14ac:dyDescent="0.25">
      <c r="A173" s="326" t="s">
        <v>202</v>
      </c>
      <c r="B173" s="327"/>
      <c r="C173" s="327"/>
      <c r="D173" s="327"/>
      <c r="E173" s="327"/>
      <c r="F173" s="327"/>
      <c r="G173" s="327"/>
      <c r="H173" s="327"/>
      <c r="I173" s="327"/>
      <c r="J173" s="76"/>
      <c r="K173" s="76"/>
      <c r="L173" s="76"/>
    </row>
    <row r="174" spans="1:12" ht="18.75" x14ac:dyDescent="0.25">
      <c r="A174" s="54" t="s">
        <v>8</v>
      </c>
      <c r="B174" s="58" t="s">
        <v>5</v>
      </c>
      <c r="C174" s="58">
        <v>200</v>
      </c>
      <c r="D174" s="5">
        <f t="shared" ref="D174" si="76">E174+F174</f>
        <v>0</v>
      </c>
      <c r="E174" s="2">
        <f>E176+E179+E199</f>
        <v>0</v>
      </c>
      <c r="F174" s="2">
        <f>F176+F179+F199</f>
        <v>0</v>
      </c>
      <c r="G174" s="5">
        <f t="shared" ref="G174" si="77">H174+I174</f>
        <v>0</v>
      </c>
      <c r="H174" s="2">
        <f>H176+H179+H199</f>
        <v>0</v>
      </c>
      <c r="I174" s="2">
        <f>I176+I179+I199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75" x14ac:dyDescent="0.25">
      <c r="A176" s="54" t="s">
        <v>10</v>
      </c>
      <c r="B176" s="58" t="s">
        <v>5</v>
      </c>
      <c r="C176" s="58">
        <v>210</v>
      </c>
      <c r="D176" s="5">
        <f t="shared" ref="D176" si="78">E176+F176</f>
        <v>0</v>
      </c>
      <c r="E176" s="2">
        <f>E178</f>
        <v>0</v>
      </c>
      <c r="F176" s="2">
        <f>F178</f>
        <v>0</v>
      </c>
      <c r="G176" s="5">
        <f t="shared" ref="G176" si="79">H176+I176</f>
        <v>0</v>
      </c>
      <c r="H176" s="2">
        <f>H178</f>
        <v>0</v>
      </c>
      <c r="I176" s="2">
        <f>I178</f>
        <v>0</v>
      </c>
      <c r="J176" s="36"/>
      <c r="K176" s="36"/>
      <c r="L176" s="36"/>
    </row>
    <row r="177" spans="1:12" ht="18.75" x14ac:dyDescent="0.25">
      <c r="A177" s="54" t="s">
        <v>9</v>
      </c>
      <c r="B177" s="58"/>
      <c r="C177" s="58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E36-E134</f>
        <v>0</v>
      </c>
      <c r="F178" s="2"/>
      <c r="G178" s="5">
        <f>H178+I178</f>
        <v>0</v>
      </c>
      <c r="H178" s="70">
        <f>H36-H134</f>
        <v>0</v>
      </c>
      <c r="I178" s="2"/>
      <c r="J178" s="36"/>
      <c r="K178" s="36"/>
      <c r="L178" s="36"/>
    </row>
    <row r="179" spans="1:12" ht="37.5" x14ac:dyDescent="0.25">
      <c r="A179" s="54" t="s">
        <v>14</v>
      </c>
      <c r="B179" s="58" t="s">
        <v>5</v>
      </c>
      <c r="C179" s="58">
        <v>220</v>
      </c>
      <c r="D179" s="5">
        <f t="shared" ref="D179" si="80">E179+F179</f>
        <v>0</v>
      </c>
      <c r="E179" s="2">
        <f>E181+E182+E183+E190+E191+E194+E197</f>
        <v>0</v>
      </c>
      <c r="F179" s="2">
        <f>F181+F182+F183+F190+F191+F194+F197</f>
        <v>0</v>
      </c>
      <c r="G179" s="5">
        <f t="shared" ref="G179" si="81">H179+I179</f>
        <v>0</v>
      </c>
      <c r="H179" s="2">
        <f>H181+H182+H183+H190+H191+H194+H197</f>
        <v>0</v>
      </c>
      <c r="I179" s="2">
        <f>I181+I182+I183+I190+I191+I194+I197</f>
        <v>0</v>
      </c>
      <c r="J179" s="36"/>
      <c r="K179" s="36"/>
      <c r="L179" s="36"/>
    </row>
    <row r="180" spans="1:12" ht="18.75" x14ac:dyDescent="0.25">
      <c r="A180" s="54" t="s">
        <v>9</v>
      </c>
      <c r="B180" s="58"/>
      <c r="C180" s="58"/>
      <c r="D180" s="5"/>
      <c r="E180" s="2"/>
      <c r="F180" s="2"/>
      <c r="G180" s="5"/>
      <c r="H180" s="2"/>
      <c r="I180" s="2"/>
      <c r="J180" s="36"/>
      <c r="K180" s="36"/>
      <c r="L180" s="36"/>
    </row>
    <row r="181" spans="1:12" ht="18.75" x14ac:dyDescent="0.25">
      <c r="A181" s="54" t="s">
        <v>15</v>
      </c>
      <c r="B181" s="58">
        <v>244</v>
      </c>
      <c r="C181" s="58">
        <v>221</v>
      </c>
      <c r="D181" s="5">
        <f t="shared" ref="D181:D183" si="82">E181+F181</f>
        <v>0</v>
      </c>
      <c r="E181" s="2">
        <f>E39-E137</f>
        <v>0</v>
      </c>
      <c r="F181" s="2"/>
      <c r="G181" s="5">
        <f t="shared" ref="G181:G183" si="83">H181+I181</f>
        <v>0</v>
      </c>
      <c r="H181" s="2">
        <f>H39-H137</f>
        <v>0</v>
      </c>
      <c r="I181" s="2"/>
      <c r="J181" s="36"/>
      <c r="K181" s="36"/>
      <c r="L181" s="36"/>
    </row>
    <row r="182" spans="1:12" ht="37.5" x14ac:dyDescent="0.25">
      <c r="A182" s="54" t="s">
        <v>16</v>
      </c>
      <c r="B182" s="58">
        <v>244</v>
      </c>
      <c r="C182" s="58">
        <v>222</v>
      </c>
      <c r="D182" s="5">
        <f t="shared" si="82"/>
        <v>0</v>
      </c>
      <c r="E182" s="70">
        <f>E42-E138</f>
        <v>0</v>
      </c>
      <c r="F182" s="2"/>
      <c r="G182" s="5">
        <f t="shared" si="83"/>
        <v>0</v>
      </c>
      <c r="H182" s="70">
        <f>H42-H138</f>
        <v>0</v>
      </c>
      <c r="I182" s="2"/>
      <c r="J182" s="36"/>
      <c r="K182" s="36"/>
      <c r="L182" s="36"/>
    </row>
    <row r="183" spans="1:12" ht="37.5" x14ac:dyDescent="0.25">
      <c r="A183" s="54" t="s">
        <v>17</v>
      </c>
      <c r="B183" s="58" t="s">
        <v>5</v>
      </c>
      <c r="C183" s="58">
        <v>223</v>
      </c>
      <c r="D183" s="5">
        <f t="shared" si="82"/>
        <v>0</v>
      </c>
      <c r="E183" s="2">
        <f t="shared" ref="E183:F183" si="84">E185+E186+E187+E188+E189</f>
        <v>0</v>
      </c>
      <c r="F183" s="2">
        <f t="shared" si="84"/>
        <v>0</v>
      </c>
      <c r="G183" s="5">
        <f t="shared" si="83"/>
        <v>0</v>
      </c>
      <c r="H183" s="2">
        <f t="shared" ref="H183:I183" si="85">H185+H186+H187+H188+H189</f>
        <v>0</v>
      </c>
      <c r="I183" s="2">
        <f t="shared" si="85"/>
        <v>0</v>
      </c>
      <c r="J183" s="36"/>
      <c r="K183" s="36"/>
      <c r="L183" s="36"/>
    </row>
    <row r="184" spans="1:12" ht="18.75" x14ac:dyDescent="0.25">
      <c r="A184" s="54" t="s">
        <v>6</v>
      </c>
      <c r="B184" s="58"/>
      <c r="C184" s="58"/>
      <c r="D184" s="5"/>
      <c r="E184" s="2"/>
      <c r="F184" s="2"/>
      <c r="G184" s="5"/>
      <c r="H184" s="2"/>
      <c r="I184" s="2"/>
      <c r="J184" s="36"/>
      <c r="K184" s="36"/>
      <c r="L184" s="36"/>
    </row>
    <row r="185" spans="1:12" ht="56.25" x14ac:dyDescent="0.25">
      <c r="A185" s="54" t="s">
        <v>18</v>
      </c>
      <c r="B185" s="58">
        <v>244</v>
      </c>
      <c r="C185" s="58">
        <v>223</v>
      </c>
      <c r="D185" s="5">
        <f t="shared" ref="D185:D190" si="86">E185+F185</f>
        <v>0</v>
      </c>
      <c r="E185" s="2">
        <f t="shared" ref="E185:E190" si="87">E45-E141</f>
        <v>0</v>
      </c>
      <c r="F185" s="2"/>
      <c r="G185" s="5">
        <f t="shared" ref="G185:G190" si="88">H185+I185</f>
        <v>0</v>
      </c>
      <c r="H185" s="2">
        <f t="shared" ref="H185:H190" si="89">H45-H141</f>
        <v>0</v>
      </c>
      <c r="I185" s="2"/>
      <c r="J185" s="36"/>
      <c r="K185" s="36"/>
      <c r="L185" s="36"/>
    </row>
    <row r="186" spans="1:12" ht="37.5" x14ac:dyDescent="0.25">
      <c r="A186" s="54" t="s">
        <v>19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75" x14ac:dyDescent="0.25">
      <c r="A187" s="54" t="s">
        <v>20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75" x14ac:dyDescent="0.25">
      <c r="A188" s="54" t="s">
        <v>21</v>
      </c>
      <c r="B188" s="58">
        <v>244</v>
      </c>
      <c r="C188" s="58">
        <v>223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22</v>
      </c>
      <c r="B189" s="58">
        <v>244</v>
      </c>
      <c r="C189" s="58">
        <v>223</v>
      </c>
      <c r="D189" s="5">
        <f t="shared" si="86"/>
        <v>0</v>
      </c>
      <c r="E189" s="2">
        <f t="shared" si="87"/>
        <v>0</v>
      </c>
      <c r="F189" s="2"/>
      <c r="G189" s="5">
        <f t="shared" si="88"/>
        <v>0</v>
      </c>
      <c r="H189" s="2">
        <f t="shared" si="89"/>
        <v>0</v>
      </c>
      <c r="I189" s="2"/>
      <c r="J189" s="36"/>
      <c r="K189" s="36"/>
      <c r="L189" s="36"/>
    </row>
    <row r="190" spans="1:12" ht="168.75" x14ac:dyDescent="0.25">
      <c r="A190" s="54" t="s">
        <v>23</v>
      </c>
      <c r="B190" s="58">
        <v>244</v>
      </c>
      <c r="C190" s="58">
        <v>224</v>
      </c>
      <c r="D190" s="5">
        <f t="shared" si="86"/>
        <v>0</v>
      </c>
      <c r="E190" s="2">
        <f t="shared" si="87"/>
        <v>0</v>
      </c>
      <c r="F190" s="2"/>
      <c r="G190" s="5">
        <f t="shared" si="88"/>
        <v>0</v>
      </c>
      <c r="H190" s="2">
        <f t="shared" si="89"/>
        <v>0</v>
      </c>
      <c r="I190" s="2"/>
      <c r="J190" s="36"/>
      <c r="K190" s="36"/>
      <c r="L190" s="36"/>
    </row>
    <row r="191" spans="1:12" ht="56.25" x14ac:dyDescent="0.25">
      <c r="A191" s="54" t="s">
        <v>24</v>
      </c>
      <c r="B191" s="58" t="s">
        <v>5</v>
      </c>
      <c r="C191" s="58">
        <v>225</v>
      </c>
      <c r="D191" s="2">
        <f t="shared" ref="D191" si="90">D192+D193</f>
        <v>0</v>
      </c>
      <c r="E191" s="2">
        <f>E192+E193</f>
        <v>0</v>
      </c>
      <c r="F191" s="2">
        <f t="shared" ref="F191:G191" si="91">F192+F193</f>
        <v>0</v>
      </c>
      <c r="G191" s="2">
        <f t="shared" si="91"/>
        <v>0</v>
      </c>
      <c r="H191" s="2">
        <f>H192+H193</f>
        <v>0</v>
      </c>
      <c r="I191" s="2">
        <f t="shared" ref="I191" si="92">I192+I193</f>
        <v>0</v>
      </c>
      <c r="J191" s="36"/>
      <c r="K191" s="36"/>
      <c r="L191" s="36"/>
    </row>
    <row r="192" spans="1:12" ht="18.75" x14ac:dyDescent="0.25">
      <c r="A192" s="224" t="s">
        <v>6</v>
      </c>
      <c r="B192" s="58">
        <v>243</v>
      </c>
      <c r="C192" s="58">
        <v>225</v>
      </c>
      <c r="D192" s="5">
        <f t="shared" ref="D192:D203" si="93">E192+F192</f>
        <v>0</v>
      </c>
      <c r="E192" s="2">
        <f>E52-E148</f>
        <v>0</v>
      </c>
      <c r="F192" s="2"/>
      <c r="G192" s="5">
        <f t="shared" ref="G192:G203" si="94">H192+I192</f>
        <v>0</v>
      </c>
      <c r="H192" s="2">
        <f>H52-H148</f>
        <v>0</v>
      </c>
      <c r="I192" s="2"/>
      <c r="J192" s="36"/>
      <c r="K192" s="36"/>
      <c r="L192" s="36"/>
    </row>
    <row r="193" spans="1:12" ht="18.75" x14ac:dyDescent="0.25">
      <c r="A193" s="224"/>
      <c r="B193" s="58">
        <v>244</v>
      </c>
      <c r="C193" s="58">
        <v>225</v>
      </c>
      <c r="D193" s="5">
        <f t="shared" si="93"/>
        <v>0</v>
      </c>
      <c r="E193" s="2">
        <f>E53-E149</f>
        <v>0</v>
      </c>
      <c r="F193" s="2"/>
      <c r="G193" s="5">
        <f t="shared" si="94"/>
        <v>0</v>
      </c>
      <c r="H193" s="2">
        <f>H53-H149</f>
        <v>0</v>
      </c>
      <c r="I193" s="2"/>
      <c r="J193" s="36"/>
      <c r="K193" s="36"/>
      <c r="L193" s="36"/>
    </row>
    <row r="194" spans="1:12" ht="37.5" x14ac:dyDescent="0.25">
      <c r="A194" s="54" t="s">
        <v>58</v>
      </c>
      <c r="B194" s="58" t="s">
        <v>5</v>
      </c>
      <c r="C194" s="58">
        <v>226</v>
      </c>
      <c r="D194" s="5">
        <f t="shared" si="93"/>
        <v>0</v>
      </c>
      <c r="E194" s="2">
        <f>E195+E196</f>
        <v>0</v>
      </c>
      <c r="F194" s="2">
        <f>F195+F196</f>
        <v>0</v>
      </c>
      <c r="G194" s="5">
        <f t="shared" si="94"/>
        <v>0</v>
      </c>
      <c r="H194" s="2">
        <f>H195+H196</f>
        <v>0</v>
      </c>
      <c r="I194" s="2">
        <f>I195+I196</f>
        <v>0</v>
      </c>
      <c r="J194" s="36"/>
      <c r="K194" s="36"/>
      <c r="L194" s="36"/>
    </row>
    <row r="195" spans="1:12" ht="18.75" x14ac:dyDescent="0.25">
      <c r="A195" s="224" t="s">
        <v>6</v>
      </c>
      <c r="B195" s="58">
        <v>243</v>
      </c>
      <c r="C195" s="58">
        <v>226</v>
      </c>
      <c r="D195" s="5">
        <f t="shared" si="93"/>
        <v>0</v>
      </c>
      <c r="E195" s="2">
        <f>E58-E151</f>
        <v>0</v>
      </c>
      <c r="F195" s="2"/>
      <c r="G195" s="5">
        <f t="shared" si="94"/>
        <v>0</v>
      </c>
      <c r="H195" s="2">
        <f>H58-H151</f>
        <v>0</v>
      </c>
      <c r="I195" s="2"/>
      <c r="J195" s="36"/>
      <c r="K195" s="36"/>
      <c r="L195" s="36"/>
    </row>
    <row r="196" spans="1:12" ht="18.75" x14ac:dyDescent="0.25">
      <c r="A196" s="224"/>
      <c r="B196" s="58">
        <v>244</v>
      </c>
      <c r="C196" s="58">
        <v>226</v>
      </c>
      <c r="D196" s="5">
        <f t="shared" si="93"/>
        <v>0</v>
      </c>
      <c r="E196" s="2">
        <f>E59-E152</f>
        <v>0</v>
      </c>
      <c r="F196" s="2"/>
      <c r="G196" s="5">
        <f t="shared" si="94"/>
        <v>0</v>
      </c>
      <c r="H196" s="2">
        <f>H59-H152</f>
        <v>0</v>
      </c>
      <c r="I196" s="2"/>
      <c r="J196" s="36"/>
      <c r="K196" s="36"/>
      <c r="L196" s="36"/>
    </row>
    <row r="197" spans="1:12" ht="18.75" x14ac:dyDescent="0.25">
      <c r="A197" s="54" t="s">
        <v>25</v>
      </c>
      <c r="B197" s="58">
        <v>244</v>
      </c>
      <c r="C197" s="58">
        <v>227</v>
      </c>
      <c r="D197" s="5">
        <f t="shared" si="93"/>
        <v>0</v>
      </c>
      <c r="E197" s="2">
        <f>E61-E153</f>
        <v>0</v>
      </c>
      <c r="F197" s="2"/>
      <c r="G197" s="5">
        <f t="shared" si="94"/>
        <v>0</v>
      </c>
      <c r="H197" s="2">
        <f>H61-H153</f>
        <v>0</v>
      </c>
      <c r="I197" s="2"/>
      <c r="J197" s="36"/>
      <c r="K197" s="36"/>
      <c r="L197" s="36"/>
    </row>
    <row r="198" spans="1:12" ht="56.25" x14ac:dyDescent="0.25">
      <c r="A198" s="170" t="s">
        <v>340</v>
      </c>
      <c r="B198" s="171">
        <v>244</v>
      </c>
      <c r="C198" s="171">
        <v>228</v>
      </c>
      <c r="D198" s="5">
        <f t="shared" ref="D198" si="95">E198+F198</f>
        <v>0</v>
      </c>
      <c r="E198" s="2">
        <f>E62-E154</f>
        <v>0</v>
      </c>
      <c r="F198" s="2"/>
      <c r="G198" s="5">
        <f t="shared" ref="G198" si="96">H198+I198</f>
        <v>0</v>
      </c>
      <c r="H198" s="2">
        <f>H62-H154</f>
        <v>0</v>
      </c>
      <c r="I198" s="2"/>
      <c r="J198" s="36"/>
      <c r="K198" s="36"/>
      <c r="L198" s="36"/>
    </row>
    <row r="199" spans="1:12" ht="18.75" x14ac:dyDescent="0.25">
      <c r="A199" s="54" t="s">
        <v>30</v>
      </c>
      <c r="B199" s="58" t="s">
        <v>5</v>
      </c>
      <c r="C199" s="58">
        <v>290</v>
      </c>
      <c r="D199" s="5">
        <f t="shared" si="93"/>
        <v>0</v>
      </c>
      <c r="E199" s="2">
        <f>E201+E202</f>
        <v>0</v>
      </c>
      <c r="F199" s="2">
        <f>F201+F202</f>
        <v>0</v>
      </c>
      <c r="G199" s="5">
        <f t="shared" si="94"/>
        <v>0</v>
      </c>
      <c r="H199" s="2">
        <f>H201+H202</f>
        <v>0</v>
      </c>
      <c r="I199" s="2">
        <f>I201+I202</f>
        <v>0</v>
      </c>
      <c r="J199" s="36"/>
      <c r="K199" s="36"/>
      <c r="L199" s="36"/>
    </row>
    <row r="200" spans="1:12" ht="18.75" x14ac:dyDescent="0.25">
      <c r="A200" s="54" t="s">
        <v>9</v>
      </c>
      <c r="B200" s="58"/>
      <c r="C200" s="58"/>
      <c r="D200" s="5">
        <f t="shared" si="93"/>
        <v>0</v>
      </c>
      <c r="E200" s="2"/>
      <c r="F200" s="2"/>
      <c r="G200" s="5">
        <f t="shared" si="94"/>
        <v>0</v>
      </c>
      <c r="H200" s="2"/>
      <c r="I200" s="2"/>
      <c r="J200" s="36"/>
      <c r="K200" s="36"/>
      <c r="L200" s="36"/>
    </row>
    <row r="201" spans="1:12" ht="56.25" x14ac:dyDescent="0.25">
      <c r="A201" s="54" t="s">
        <v>34</v>
      </c>
      <c r="B201" s="58">
        <v>244</v>
      </c>
      <c r="C201" s="58">
        <v>296</v>
      </c>
      <c r="D201" s="5">
        <f t="shared" si="93"/>
        <v>0</v>
      </c>
      <c r="E201" s="2">
        <f>E83-E157</f>
        <v>0</v>
      </c>
      <c r="F201" s="2"/>
      <c r="G201" s="5">
        <f t="shared" si="94"/>
        <v>0</v>
      </c>
      <c r="H201" s="2">
        <f>H83-H157</f>
        <v>0</v>
      </c>
      <c r="I201" s="2"/>
      <c r="J201" s="36"/>
      <c r="K201" s="36"/>
      <c r="L201" s="36"/>
    </row>
    <row r="202" spans="1:12" ht="56.25" x14ac:dyDescent="0.25">
      <c r="A202" s="54" t="s">
        <v>35</v>
      </c>
      <c r="B202" s="58">
        <v>244</v>
      </c>
      <c r="C202" s="58">
        <v>297</v>
      </c>
      <c r="D202" s="5">
        <f t="shared" si="93"/>
        <v>0</v>
      </c>
      <c r="E202" s="2">
        <f>E90-E158</f>
        <v>0</v>
      </c>
      <c r="F202" s="2"/>
      <c r="G202" s="5">
        <f t="shared" si="94"/>
        <v>0</v>
      </c>
      <c r="H202" s="2">
        <f>H90-H158</f>
        <v>0</v>
      </c>
      <c r="I202" s="2"/>
      <c r="J202" s="36"/>
      <c r="K202" s="36"/>
      <c r="L202" s="36"/>
    </row>
    <row r="203" spans="1:12" ht="56.25" x14ac:dyDescent="0.25">
      <c r="A203" s="54" t="s">
        <v>59</v>
      </c>
      <c r="B203" s="58" t="s">
        <v>5</v>
      </c>
      <c r="C203" s="58">
        <v>300</v>
      </c>
      <c r="D203" s="5">
        <f t="shared" si="93"/>
        <v>0</v>
      </c>
      <c r="E203" s="2">
        <f>E205+E207+E206</f>
        <v>0</v>
      </c>
      <c r="F203" s="2">
        <f>F205+F207+F206</f>
        <v>0</v>
      </c>
      <c r="G203" s="5">
        <f t="shared" si="94"/>
        <v>0</v>
      </c>
      <c r="H203" s="2">
        <f>H205+H207+H206</f>
        <v>0</v>
      </c>
      <c r="I203" s="2">
        <f>I205+I207+I206</f>
        <v>0</v>
      </c>
      <c r="J203" s="36"/>
      <c r="K203" s="36"/>
      <c r="L203" s="36"/>
    </row>
    <row r="204" spans="1:12" ht="18.75" x14ac:dyDescent="0.25">
      <c r="A204" s="54" t="s">
        <v>9</v>
      </c>
      <c r="B204" s="58"/>
      <c r="C204" s="58"/>
      <c r="D204" s="5"/>
      <c r="E204" s="2"/>
      <c r="F204" s="2"/>
      <c r="G204" s="5"/>
      <c r="H204" s="2"/>
      <c r="I204" s="2"/>
      <c r="J204" s="36"/>
      <c r="K204" s="36"/>
      <c r="L204" s="36"/>
    </row>
    <row r="205" spans="1:12" ht="56.25" x14ac:dyDescent="0.25">
      <c r="A205" s="54" t="s">
        <v>36</v>
      </c>
      <c r="B205" s="58">
        <v>244</v>
      </c>
      <c r="C205" s="58">
        <v>310</v>
      </c>
      <c r="D205" s="5">
        <f t="shared" ref="D205:D207" si="97">E205+F205</f>
        <v>0</v>
      </c>
      <c r="E205" s="2">
        <f>E96-E161</f>
        <v>0</v>
      </c>
      <c r="F205" s="2"/>
      <c r="G205" s="5">
        <f t="shared" ref="G205:G207" si="98">H205+I205</f>
        <v>0</v>
      </c>
      <c r="H205" s="2">
        <f>H96-H161</f>
        <v>0</v>
      </c>
      <c r="I205" s="2"/>
      <c r="J205" s="36"/>
      <c r="K205" s="36"/>
      <c r="L205" s="36"/>
    </row>
    <row r="206" spans="1:12" ht="75" x14ac:dyDescent="0.25">
      <c r="A206" s="54" t="s">
        <v>68</v>
      </c>
      <c r="B206" s="58">
        <v>244</v>
      </c>
      <c r="C206" s="58">
        <v>320</v>
      </c>
      <c r="D206" s="5">
        <f t="shared" si="97"/>
        <v>0</v>
      </c>
      <c r="E206" s="2">
        <f>E97-E162</f>
        <v>0</v>
      </c>
      <c r="F206" s="2"/>
      <c r="G206" s="5">
        <f t="shared" si="98"/>
        <v>0</v>
      </c>
      <c r="H206" s="2">
        <f>H97-H162</f>
        <v>0</v>
      </c>
      <c r="I206" s="2"/>
      <c r="J206" s="36"/>
      <c r="K206" s="36"/>
      <c r="L206" s="36"/>
    </row>
    <row r="207" spans="1:12" ht="75" x14ac:dyDescent="0.25">
      <c r="A207" s="54" t="s">
        <v>60</v>
      </c>
      <c r="B207" s="58" t="s">
        <v>5</v>
      </c>
      <c r="C207" s="58">
        <v>340</v>
      </c>
      <c r="D207" s="5">
        <f t="shared" si="97"/>
        <v>0</v>
      </c>
      <c r="E207" s="2">
        <f>E209+E210+E211+E212+E213+E214+E216</f>
        <v>0</v>
      </c>
      <c r="F207" s="2">
        <f>F209+F210+F211+F212+F213+F214+F216</f>
        <v>0</v>
      </c>
      <c r="G207" s="5">
        <f t="shared" si="98"/>
        <v>0</v>
      </c>
      <c r="H207" s="2">
        <f>H209+H210+H211+H212+H213+H214+H216</f>
        <v>0</v>
      </c>
      <c r="I207" s="2">
        <f>I209+I210+I211+I212+I213+I214+I216</f>
        <v>0</v>
      </c>
      <c r="J207" s="36"/>
      <c r="K207" s="36"/>
      <c r="L207" s="36"/>
    </row>
    <row r="208" spans="1:12" ht="18.75" x14ac:dyDescent="0.25">
      <c r="A208" s="54" t="s">
        <v>6</v>
      </c>
      <c r="B208" s="58"/>
      <c r="C208" s="58"/>
      <c r="D208" s="5"/>
      <c r="E208" s="2"/>
      <c r="F208" s="2"/>
      <c r="G208" s="5"/>
      <c r="H208" s="2"/>
      <c r="I208" s="2"/>
      <c r="J208" s="36"/>
      <c r="K208" s="36"/>
      <c r="L208" s="36"/>
    </row>
    <row r="209" spans="1:12" ht="131.25" x14ac:dyDescent="0.25">
      <c r="A209" s="54" t="s">
        <v>37</v>
      </c>
      <c r="B209" s="58">
        <v>244</v>
      </c>
      <c r="C209" s="58">
        <v>341</v>
      </c>
      <c r="D209" s="5">
        <f t="shared" ref="D209:D216" si="99">E209+F209</f>
        <v>0</v>
      </c>
      <c r="E209" s="2">
        <f t="shared" ref="E209:E215" si="100">E100-E165</f>
        <v>0</v>
      </c>
      <c r="F209" s="2"/>
      <c r="G209" s="5">
        <f t="shared" ref="G209:G216" si="101">H209+I209</f>
        <v>0</v>
      </c>
      <c r="H209" s="2">
        <f t="shared" ref="H209:H215" si="102">H100-H165</f>
        <v>0</v>
      </c>
      <c r="I209" s="2"/>
      <c r="J209" s="36"/>
      <c r="K209" s="36"/>
      <c r="L209" s="36"/>
    </row>
    <row r="210" spans="1:12" ht="56.25" x14ac:dyDescent="0.25">
      <c r="A210" s="54" t="s">
        <v>38</v>
      </c>
      <c r="B210" s="58">
        <v>244</v>
      </c>
      <c r="C210" s="58">
        <v>342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75" x14ac:dyDescent="0.25">
      <c r="A211" s="54" t="s">
        <v>39</v>
      </c>
      <c r="B211" s="58">
        <v>244</v>
      </c>
      <c r="C211" s="58">
        <v>343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40</v>
      </c>
      <c r="B212" s="58">
        <v>244</v>
      </c>
      <c r="C212" s="58">
        <v>344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56.25" x14ac:dyDescent="0.25">
      <c r="A213" s="54" t="s">
        <v>41</v>
      </c>
      <c r="B213" s="58">
        <v>244</v>
      </c>
      <c r="C213" s="58">
        <v>345</v>
      </c>
      <c r="D213" s="5">
        <f t="shared" si="99"/>
        <v>0</v>
      </c>
      <c r="E213" s="2">
        <f t="shared" si="100"/>
        <v>0</v>
      </c>
      <c r="F213" s="2"/>
      <c r="G213" s="5">
        <f t="shared" si="101"/>
        <v>0</v>
      </c>
      <c r="H213" s="2">
        <f t="shared" si="102"/>
        <v>0</v>
      </c>
      <c r="I213" s="2"/>
      <c r="J213" s="36"/>
      <c r="K213" s="36"/>
      <c r="L213" s="36"/>
    </row>
    <row r="214" spans="1:12" ht="75" x14ac:dyDescent="0.25">
      <c r="A214" s="54" t="s">
        <v>42</v>
      </c>
      <c r="B214" s="58">
        <v>244</v>
      </c>
      <c r="C214" s="58">
        <v>346</v>
      </c>
      <c r="D214" s="5">
        <f t="shared" si="99"/>
        <v>0</v>
      </c>
      <c r="E214" s="2">
        <f t="shared" si="100"/>
        <v>0</v>
      </c>
      <c r="F214" s="2"/>
      <c r="G214" s="5">
        <f t="shared" si="101"/>
        <v>0</v>
      </c>
      <c r="H214" s="2">
        <f t="shared" si="102"/>
        <v>0</v>
      </c>
      <c r="I214" s="2"/>
      <c r="J214" s="36"/>
      <c r="K214" s="36"/>
      <c r="L214" s="36"/>
    </row>
    <row r="215" spans="1:12" ht="112.5" x14ac:dyDescent="0.25">
      <c r="A215" s="170" t="s">
        <v>341</v>
      </c>
      <c r="B215" s="171">
        <v>244</v>
      </c>
      <c r="C215" s="171">
        <v>347</v>
      </c>
      <c r="D215" s="5">
        <f t="shared" ref="D215" si="103">E215+F215</f>
        <v>0</v>
      </c>
      <c r="E215" s="2">
        <f t="shared" si="100"/>
        <v>0</v>
      </c>
      <c r="F215" s="2"/>
      <c r="G215" s="5">
        <f t="shared" ref="G215" si="104">H215+I215</f>
        <v>0</v>
      </c>
      <c r="H215" s="2">
        <f t="shared" si="102"/>
        <v>0</v>
      </c>
      <c r="I215" s="2"/>
      <c r="J215" s="36"/>
      <c r="K215" s="36"/>
      <c r="L215" s="36"/>
    </row>
    <row r="216" spans="1:12" ht="112.5" x14ac:dyDescent="0.25">
      <c r="A216" s="54" t="s">
        <v>43</v>
      </c>
      <c r="B216" s="58">
        <v>244</v>
      </c>
      <c r="C216" s="58">
        <v>349</v>
      </c>
      <c r="D216" s="5">
        <f t="shared" si="99"/>
        <v>0</v>
      </c>
      <c r="E216" s="2">
        <f t="shared" ref="E216" si="105">E107-E172</f>
        <v>0</v>
      </c>
      <c r="F216" s="2"/>
      <c r="G216" s="5">
        <f t="shared" si="101"/>
        <v>0</v>
      </c>
      <c r="H216" s="2">
        <f t="shared" ref="H216" si="106">H107-H172</f>
        <v>0</v>
      </c>
      <c r="I216" s="2"/>
      <c r="J216" s="36"/>
      <c r="K216" s="36"/>
      <c r="L216" s="36"/>
    </row>
  </sheetData>
  <mergeCells count="39">
    <mergeCell ref="A55:A60"/>
    <mergeCell ref="A69:A70"/>
    <mergeCell ref="A76:A78"/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N125:P125"/>
    <mergeCell ref="A125:I125"/>
    <mergeCell ref="K125:M125"/>
    <mergeCell ref="A124:B124"/>
    <mergeCell ref="B119:C119"/>
    <mergeCell ref="E119:F119"/>
    <mergeCell ref="B121:C121"/>
    <mergeCell ref="E121:F121"/>
    <mergeCell ref="B122:C122"/>
    <mergeCell ref="E122:F122"/>
    <mergeCell ref="A83:A88"/>
    <mergeCell ref="A195:A196"/>
    <mergeCell ref="B115:C115"/>
    <mergeCell ref="E115:F115"/>
    <mergeCell ref="B116:C116"/>
    <mergeCell ref="E116:F116"/>
    <mergeCell ref="A129:I129"/>
    <mergeCell ref="A148:A149"/>
    <mergeCell ref="A151:A152"/>
    <mergeCell ref="A173:I173"/>
    <mergeCell ref="A192:A193"/>
    <mergeCell ref="B118:C118"/>
    <mergeCell ref="E118:F118"/>
    <mergeCell ref="A90:A93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4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C40" sqref="C4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268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74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34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5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год'!E134</f>
        <v>0</v>
      </c>
      <c r="F17" s="2">
        <f>'платные на 2024-2025 год'!F134</f>
        <v>0</v>
      </c>
      <c r="G17" s="5">
        <f>H17+I17</f>
        <v>0</v>
      </c>
      <c r="H17" s="2">
        <f>'платные на 2024-2025 год'!H134</f>
        <v>0</v>
      </c>
      <c r="I17" s="2">
        <f>'платные на 2024-2025 год'!I134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год'!E137</f>
        <v>0</v>
      </c>
      <c r="F20" s="2">
        <f>'платные на 2024-2025 год'!F137</f>
        <v>0</v>
      </c>
      <c r="G20" s="5">
        <f t="shared" ref="G20:G22" si="6">H20+I20</f>
        <v>0</v>
      </c>
      <c r="H20" s="2">
        <f>'платные на 2024-2025 год'!H137</f>
        <v>0</v>
      </c>
      <c r="I20" s="2">
        <f>'платные на 2024-2025 год'!I137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год'!E138</f>
        <v>0</v>
      </c>
      <c r="F21" s="2">
        <f>'платные на 2024-2025 год'!F138</f>
        <v>0</v>
      </c>
      <c r="G21" s="5">
        <f t="shared" si="6"/>
        <v>0</v>
      </c>
      <c r="H21" s="2">
        <f>'платные на 2024-2025 год'!H138</f>
        <v>0</v>
      </c>
      <c r="I21" s="2">
        <f>'платные на 2024-2025 год'!I138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год'!E141</f>
        <v>0</v>
      </c>
      <c r="F24" s="2">
        <f>'платные на 2024-2025 год'!F141</f>
        <v>0</v>
      </c>
      <c r="G24" s="5">
        <f t="shared" ref="G24:G29" si="9">H24+I24</f>
        <v>0</v>
      </c>
      <c r="H24" s="2">
        <f>'платные на 2024-2025 год'!H141</f>
        <v>0</v>
      </c>
      <c r="I24" s="2">
        <f>'платные на 2024-2025 год'!I141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год'!E142</f>
        <v>0</v>
      </c>
      <c r="F25" s="2">
        <f>'платные на 2024-2025 год'!F142</f>
        <v>0</v>
      </c>
      <c r="G25" s="5">
        <f t="shared" si="9"/>
        <v>0</v>
      </c>
      <c r="H25" s="2">
        <f>'платные на 2024-2025 год'!H142</f>
        <v>0</v>
      </c>
      <c r="I25" s="2">
        <f>'платные на 2024-2025 год'!I142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год'!E143</f>
        <v>0</v>
      </c>
      <c r="F26" s="2">
        <f>'платные на 2024-2025 год'!F143</f>
        <v>0</v>
      </c>
      <c r="G26" s="5">
        <f t="shared" si="9"/>
        <v>0</v>
      </c>
      <c r="H26" s="2">
        <f>'платные на 2024-2025 год'!H143</f>
        <v>0</v>
      </c>
      <c r="I26" s="2">
        <f>'платные на 2024-2025 год'!I143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год'!E144</f>
        <v>0</v>
      </c>
      <c r="F27" s="2">
        <f>'платные на 2024-2025 год'!F144</f>
        <v>0</v>
      </c>
      <c r="G27" s="5">
        <f t="shared" si="9"/>
        <v>0</v>
      </c>
      <c r="H27" s="2">
        <f>'платные на 2024-2025 год'!H144</f>
        <v>0</v>
      </c>
      <c r="I27" s="2">
        <f>'платные на 2024-2025 год'!I144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год'!E145</f>
        <v>0</v>
      </c>
      <c r="F28" s="2">
        <f>'платные на 2024-2025 год'!F145</f>
        <v>0</v>
      </c>
      <c r="G28" s="5">
        <f t="shared" si="9"/>
        <v>0</v>
      </c>
      <c r="H28" s="2">
        <f>'платные на 2024-2025 год'!H145</f>
        <v>0</v>
      </c>
      <c r="I28" s="2">
        <f>'платные на 2024-2025 год'!I145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год'!E146</f>
        <v>0</v>
      </c>
      <c r="F29" s="2">
        <f>'платные на 2024-2025 год'!F146</f>
        <v>0</v>
      </c>
      <c r="G29" s="5">
        <f t="shared" si="9"/>
        <v>0</v>
      </c>
      <c r="H29" s="2">
        <f>'платные на 2024-2025 год'!H146</f>
        <v>0</v>
      </c>
      <c r="I29" s="2">
        <f>'платные на 2024-2025 год'!I146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год'!E148</f>
        <v>0</v>
      </c>
      <c r="F31" s="2">
        <f>'платные на 2024-2025 год'!F148</f>
        <v>0</v>
      </c>
      <c r="G31" s="5">
        <f t="shared" ref="G31:G41" si="12">H31+I31</f>
        <v>0</v>
      </c>
      <c r="H31" s="2">
        <f>'платные на 2024-2025 год'!H148</f>
        <v>0</v>
      </c>
      <c r="I31" s="2">
        <f>'платные на 2024-2025 год'!I148</f>
        <v>0</v>
      </c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>
        <f>'платные на 2024-2025 год'!E149</f>
        <v>0</v>
      </c>
      <c r="F32" s="2">
        <f>'платные на 2024-2025 год'!F149</f>
        <v>0</v>
      </c>
      <c r="G32" s="5">
        <f t="shared" si="12"/>
        <v>0</v>
      </c>
      <c r="H32" s="2">
        <f>'платные на 2024-2025 год'!H149</f>
        <v>0</v>
      </c>
      <c r="I32" s="2">
        <f>'платные на 2024-2025 год'!I149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год'!E151</f>
        <v>0</v>
      </c>
      <c r="F34" s="2">
        <f>'платные на 2024-2025 год'!F151</f>
        <v>0</v>
      </c>
      <c r="G34" s="5">
        <f t="shared" si="12"/>
        <v>0</v>
      </c>
      <c r="H34" s="2">
        <f>'платные на 2024-2025 год'!H151</f>
        <v>0</v>
      </c>
      <c r="I34" s="2">
        <f>'платные на 2024-2025 год'!I151</f>
        <v>0</v>
      </c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>
        <f>'платные на 2024-2025 год'!E152</f>
        <v>0</v>
      </c>
      <c r="F35" s="2">
        <f>'платные на 2024-2025 год'!F152</f>
        <v>0</v>
      </c>
      <c r="G35" s="5">
        <f t="shared" si="12"/>
        <v>0</v>
      </c>
      <c r="H35" s="2">
        <f>'платные на 2024-2025 год'!H152</f>
        <v>0</v>
      </c>
      <c r="I35" s="2">
        <f>'платные на 2024-2025 год'!I152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год'!E153</f>
        <v>0</v>
      </c>
      <c r="F36" s="2">
        <f>'платные на 2024-2025 год'!F153</f>
        <v>0</v>
      </c>
      <c r="G36" s="5">
        <f t="shared" si="12"/>
        <v>0</v>
      </c>
      <c r="H36" s="2">
        <f>'платные на 2024-2025 год'!H153</f>
        <v>0</v>
      </c>
      <c r="I36" s="2">
        <f>'платные на 2024-2025 год'!I153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год'!E157</f>
        <v>0</v>
      </c>
      <c r="F39" s="2">
        <f>'платные на 2024-2025 год'!F157</f>
        <v>0</v>
      </c>
      <c r="G39" s="5">
        <f t="shared" si="12"/>
        <v>0</v>
      </c>
      <c r="H39" s="2">
        <f>'платные на 2024-2025 год'!H157</f>
        <v>0</v>
      </c>
      <c r="I39" s="2">
        <f>'платные на 2024-2025 год'!I157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год'!E158</f>
        <v>0</v>
      </c>
      <c r="F40" s="2">
        <f>'платные на 2024-2025 год'!F158</f>
        <v>0</v>
      </c>
      <c r="G40" s="5">
        <f t="shared" si="12"/>
        <v>0</v>
      </c>
      <c r="H40" s="2">
        <f>'платные на 2024-2025 год'!H158</f>
        <v>0</v>
      </c>
      <c r="I40" s="2">
        <f>'платные на 2024-2025 год'!I158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год'!E161</f>
        <v>0</v>
      </c>
      <c r="F43" s="2">
        <f>'платные на 2024-2025 год'!F161</f>
        <v>0</v>
      </c>
      <c r="G43" s="5">
        <f t="shared" ref="G43:G45" si="13">H43+I43</f>
        <v>0</v>
      </c>
      <c r="H43" s="2">
        <f>'платные на 2024-2025 год'!H161</f>
        <v>0</v>
      </c>
      <c r="I43" s="2">
        <f>'платные на 2024-2025 год'!I161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год'!E162</f>
        <v>0</v>
      </c>
      <c r="F44" s="2">
        <f>'платные на 2024-2025 год'!F162</f>
        <v>0</v>
      </c>
      <c r="G44" s="5">
        <f t="shared" si="13"/>
        <v>0</v>
      </c>
      <c r="H44" s="2">
        <f>'платные на 2024-2025 год'!H162</f>
        <v>0</v>
      </c>
      <c r="I44" s="2">
        <f>'платные на 2024-2025 год'!I162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год'!E165</f>
        <v>0</v>
      </c>
      <c r="F47" s="2">
        <f>'платные на 2024-2025 год'!F165</f>
        <v>0</v>
      </c>
      <c r="G47" s="5">
        <f t="shared" ref="G47:G53" si="15">H47+I47</f>
        <v>0</v>
      </c>
      <c r="H47" s="2">
        <f>'платные на 2024-2025 год'!H165</f>
        <v>0</v>
      </c>
      <c r="I47" s="2">
        <f>'платные на 2024-2025 год'!I165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год'!E166</f>
        <v>0</v>
      </c>
      <c r="F48" s="2">
        <f>'платные на 2024-2025 год'!F166</f>
        <v>0</v>
      </c>
      <c r="G48" s="5">
        <f t="shared" si="15"/>
        <v>0</v>
      </c>
      <c r="H48" s="2">
        <f>'платные на 2024-2025 год'!H166</f>
        <v>0</v>
      </c>
      <c r="I48" s="2">
        <f>'платные на 2024-2025 год'!I166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год'!E167</f>
        <v>0</v>
      </c>
      <c r="F49" s="2">
        <f>'платные на 2024-2025 год'!F167</f>
        <v>0</v>
      </c>
      <c r="G49" s="5">
        <f t="shared" si="15"/>
        <v>0</v>
      </c>
      <c r="H49" s="2">
        <f>'платные на 2024-2025 год'!H167</f>
        <v>0</v>
      </c>
      <c r="I49" s="2">
        <f>'платные на 2024-2025 год'!I167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год'!E168</f>
        <v>0</v>
      </c>
      <c r="F50" s="2">
        <f>'платные на 2024-2025 год'!F168</f>
        <v>0</v>
      </c>
      <c r="G50" s="5">
        <f t="shared" si="15"/>
        <v>0</v>
      </c>
      <c r="H50" s="2">
        <f>'платные на 2024-2025 год'!H168</f>
        <v>0</v>
      </c>
      <c r="I50" s="2">
        <f>'платные на 2024-2025 год'!I168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год'!E169</f>
        <v>0</v>
      </c>
      <c r="F51" s="2">
        <f>'платные на 2024-2025 год'!F169</f>
        <v>0</v>
      </c>
      <c r="G51" s="5">
        <f t="shared" si="15"/>
        <v>0</v>
      </c>
      <c r="H51" s="2">
        <f>'платные на 2024-2025 год'!H169</f>
        <v>0</v>
      </c>
      <c r="I51" s="2">
        <f>'платные на 2024-2025 год'!I169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год'!E170</f>
        <v>0</v>
      </c>
      <c r="F52" s="2">
        <f>'платные на 2024-2025 год'!F170</f>
        <v>0</v>
      </c>
      <c r="G52" s="5">
        <f t="shared" si="15"/>
        <v>0</v>
      </c>
      <c r="H52" s="2">
        <f>'платные на 2024-2025 год'!H170</f>
        <v>0</v>
      </c>
      <c r="I52" s="2">
        <f>'платные на 2024-2025 год'!I170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год'!E172</f>
        <v>0</v>
      </c>
      <c r="F53" s="2">
        <f>'платные на 2024-2025 год'!F172</f>
        <v>0</v>
      </c>
      <c r="G53" s="5">
        <f t="shared" si="15"/>
        <v>0</v>
      </c>
      <c r="H53" s="2">
        <f>'платные на 2024-2025 год'!H172</f>
        <v>0</v>
      </c>
      <c r="I53" s="2">
        <f>'платные на 2024-2025 год'!I172</f>
        <v>0</v>
      </c>
    </row>
    <row r="54" spans="1:9" ht="32.450000000000003" customHeight="1" x14ac:dyDescent="0.25">
      <c r="A54" s="331" t="s">
        <v>202</v>
      </c>
      <c r="B54" s="332"/>
      <c r="C54" s="332"/>
      <c r="D54" s="332"/>
      <c r="E54" s="332"/>
      <c r="F54" s="332"/>
      <c r="G54" s="332"/>
      <c r="H54" s="332"/>
      <c r="I54" s="333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год'!E178</f>
        <v>0</v>
      </c>
      <c r="F59" s="2">
        <f>'платные на 2024-2025 год'!F178</f>
        <v>0</v>
      </c>
      <c r="G59" s="5">
        <f>H59+I59</f>
        <v>0</v>
      </c>
      <c r="H59" s="2">
        <f>'платные на 2024-2025 год'!H178</f>
        <v>0</v>
      </c>
      <c r="I59" s="2">
        <f>'платные на 2024-2025 год'!I178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год'!E181</f>
        <v>0</v>
      </c>
      <c r="F62" s="2">
        <f>'платные на 2024-2025 год'!F181</f>
        <v>0</v>
      </c>
      <c r="G62" s="5">
        <f t="shared" ref="G62:G64" si="23">H62+I62</f>
        <v>0</v>
      </c>
      <c r="H62" s="2">
        <f>'платные на 2024-2025 год'!H181</f>
        <v>0</v>
      </c>
      <c r="I62" s="2">
        <f>'платные на 2024-2025 год'!I181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год'!E182</f>
        <v>0</v>
      </c>
      <c r="F63" s="2">
        <f>'платные на 2024-2025 год'!F182</f>
        <v>0</v>
      </c>
      <c r="G63" s="5">
        <f t="shared" si="23"/>
        <v>0</v>
      </c>
      <c r="H63" s="2">
        <f>'платные на 2024-2025 год'!H182</f>
        <v>0</v>
      </c>
      <c r="I63" s="2">
        <f>'платные на 2024-2025 год'!I182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год'!E185</f>
        <v>0</v>
      </c>
      <c r="F66" s="2">
        <f>'платные на 2024-2025 год'!F185</f>
        <v>0</v>
      </c>
      <c r="G66" s="5">
        <f t="shared" ref="G66:G71" si="27">H66+I66</f>
        <v>0</v>
      </c>
      <c r="H66" s="2">
        <f>'платные на 2024-2025 год'!H185</f>
        <v>0</v>
      </c>
      <c r="I66" s="2">
        <f>'платные на 2024-2025 год'!I185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год'!E186</f>
        <v>0</v>
      </c>
      <c r="F67" s="2">
        <f>'платные на 2024-2025 год'!F186</f>
        <v>0</v>
      </c>
      <c r="G67" s="5">
        <f t="shared" si="27"/>
        <v>0</v>
      </c>
      <c r="H67" s="2">
        <f>'платные на 2024-2025 год'!H186</f>
        <v>0</v>
      </c>
      <c r="I67" s="2">
        <f>'платные на 2024-2025 год'!I186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год'!E187</f>
        <v>0</v>
      </c>
      <c r="F68" s="2">
        <f>'платные на 2024-2025 год'!F187</f>
        <v>0</v>
      </c>
      <c r="G68" s="5">
        <f t="shared" si="27"/>
        <v>0</v>
      </c>
      <c r="H68" s="2">
        <f>'платные на 2024-2025 год'!H187</f>
        <v>0</v>
      </c>
      <c r="I68" s="2">
        <f>'платные на 2024-2025 год'!I187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год'!E188</f>
        <v>0</v>
      </c>
      <c r="F69" s="2">
        <f>'платные на 2024-2025 год'!F188</f>
        <v>0</v>
      </c>
      <c r="G69" s="5">
        <f t="shared" si="27"/>
        <v>0</v>
      </c>
      <c r="H69" s="2">
        <f>'платные на 2024-2025 год'!H188</f>
        <v>0</v>
      </c>
      <c r="I69" s="2">
        <f>'платные на 2024-2025 год'!I188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год'!E189</f>
        <v>0</v>
      </c>
      <c r="F70" s="2">
        <f>'платные на 2024-2025 год'!F189</f>
        <v>0</v>
      </c>
      <c r="G70" s="5">
        <f t="shared" si="27"/>
        <v>0</v>
      </c>
      <c r="H70" s="2">
        <f>'платные на 2024-2025 год'!H189</f>
        <v>0</v>
      </c>
      <c r="I70" s="2">
        <f>'платные на 2024-2025 год'!I189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год'!E190</f>
        <v>0</v>
      </c>
      <c r="F71" s="2">
        <f>'платные на 2024-2025 год'!F190</f>
        <v>0</v>
      </c>
      <c r="G71" s="5">
        <f t="shared" si="27"/>
        <v>0</v>
      </c>
      <c r="H71" s="2">
        <f>'платные на 2024-2025 год'!H190</f>
        <v>0</v>
      </c>
      <c r="I71" s="2">
        <f>'платные на 2024-2025 год'!I190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год'!E192</f>
        <v>0</v>
      </c>
      <c r="F73" s="2">
        <f>'платные на 2024-2025 год'!F192</f>
        <v>0</v>
      </c>
      <c r="G73" s="5">
        <f t="shared" ref="G73:G83" si="32">H73+I73</f>
        <v>0</v>
      </c>
      <c r="H73" s="2">
        <f>'платные на 2024-2025 год'!H192</f>
        <v>0</v>
      </c>
      <c r="I73" s="2">
        <f>'платные на 2024-2025 год'!I192</f>
        <v>0</v>
      </c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>
        <f>'платные на 2024-2025 год'!E193</f>
        <v>0</v>
      </c>
      <c r="F74" s="2">
        <f>'платные на 2024-2025 год'!F193</f>
        <v>0</v>
      </c>
      <c r="G74" s="5">
        <f t="shared" si="32"/>
        <v>0</v>
      </c>
      <c r="H74" s="2">
        <f>'платные на 2024-2025 год'!H193</f>
        <v>0</v>
      </c>
      <c r="I74" s="2">
        <f>'платные на 2024-2025 год'!I193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год'!E195</f>
        <v>0</v>
      </c>
      <c r="F76" s="2">
        <f>'платные на 2024-2025 год'!F195</f>
        <v>0</v>
      </c>
      <c r="G76" s="5">
        <f t="shared" si="32"/>
        <v>0</v>
      </c>
      <c r="H76" s="2">
        <f>'платные на 2024-2025 год'!H195</f>
        <v>0</v>
      </c>
      <c r="I76" s="2">
        <f>'платные на 2024-2025 год'!I195</f>
        <v>0</v>
      </c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>
        <f>'платные на 2024-2025 год'!E196</f>
        <v>0</v>
      </c>
      <c r="F77" s="2">
        <f>'платные на 2024-2025 год'!F196</f>
        <v>0</v>
      </c>
      <c r="G77" s="5">
        <f t="shared" si="32"/>
        <v>0</v>
      </c>
      <c r="H77" s="2">
        <f>'платные на 2024-2025 год'!H196</f>
        <v>0</v>
      </c>
      <c r="I77" s="2">
        <f>'платные на 2024-2025 год'!I196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год'!E197</f>
        <v>0</v>
      </c>
      <c r="F78" s="2">
        <f>'платные на 2024-2025 год'!F197</f>
        <v>0</v>
      </c>
      <c r="G78" s="5">
        <f t="shared" si="32"/>
        <v>0</v>
      </c>
      <c r="H78" s="2">
        <f>'платные на 2024-2025 год'!H197</f>
        <v>0</v>
      </c>
      <c r="I78" s="2">
        <f>'платные на 2024-2025 год'!I197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год'!E201</f>
        <v>0</v>
      </c>
      <c r="F81" s="2">
        <f>'платные на 2024-2025 год'!F201</f>
        <v>0</v>
      </c>
      <c r="G81" s="5">
        <f t="shared" si="32"/>
        <v>0</v>
      </c>
      <c r="H81" s="2">
        <f>'платные на 2024-2025 год'!H201</f>
        <v>0</v>
      </c>
      <c r="I81" s="2">
        <f>'платные на 2024-2025 год'!I201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год'!E202</f>
        <v>0</v>
      </c>
      <c r="F82" s="2">
        <f>'платные на 2024-2025 год'!F202</f>
        <v>0</v>
      </c>
      <c r="G82" s="5">
        <f t="shared" si="32"/>
        <v>0</v>
      </c>
      <c r="H82" s="2">
        <f>'платные на 2024-2025 год'!H202</f>
        <v>0</v>
      </c>
      <c r="I82" s="2">
        <f>'платные на 2024-2025 год'!I202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год'!E205</f>
        <v>0</v>
      </c>
      <c r="F85" s="2">
        <f>'платные на 2024-2025 год'!F205</f>
        <v>0</v>
      </c>
      <c r="G85" s="5">
        <f t="shared" ref="G85:G87" si="34">H85+I85</f>
        <v>0</v>
      </c>
      <c r="H85" s="2">
        <f>'платные на 2024-2025 год'!H205</f>
        <v>0</v>
      </c>
      <c r="I85" s="2">
        <f>'платные на 2024-2025 год'!I205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год'!E206</f>
        <v>0</v>
      </c>
      <c r="F86" s="2">
        <f>'платные на 2024-2025 год'!F206</f>
        <v>0</v>
      </c>
      <c r="G86" s="5">
        <f t="shared" si="34"/>
        <v>0</v>
      </c>
      <c r="H86" s="2">
        <f>'платные на 2024-2025 год'!H206</f>
        <v>0</v>
      </c>
      <c r="I86" s="2">
        <f>'платные на 2024-2025 год'!I206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год'!E209</f>
        <v>0</v>
      </c>
      <c r="F89" s="2">
        <f>'платные на 2024-2025 год'!F209</f>
        <v>0</v>
      </c>
      <c r="G89" s="5">
        <f t="shared" ref="G89:G95" si="36">H89+I89</f>
        <v>0</v>
      </c>
      <c r="H89" s="2">
        <f>'платные на 2024-2025 год'!H209</f>
        <v>0</v>
      </c>
      <c r="I89" s="2">
        <f>'платные на 2024-2025 год'!I209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год'!E210</f>
        <v>0</v>
      </c>
      <c r="F90" s="2">
        <f>'платные на 2024-2025 год'!F210</f>
        <v>0</v>
      </c>
      <c r="G90" s="5">
        <f t="shared" si="36"/>
        <v>0</v>
      </c>
      <c r="H90" s="2">
        <f>'платные на 2024-2025 год'!H210</f>
        <v>0</v>
      </c>
      <c r="I90" s="2">
        <f>'платные на 2024-2025 год'!I210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год'!E211</f>
        <v>0</v>
      </c>
      <c r="F91" s="2">
        <f>'платные на 2024-2025 год'!F211</f>
        <v>0</v>
      </c>
      <c r="G91" s="5">
        <f t="shared" si="36"/>
        <v>0</v>
      </c>
      <c r="H91" s="2">
        <f>'платные на 2024-2025 год'!H211</f>
        <v>0</v>
      </c>
      <c r="I91" s="2">
        <f>'платные на 2024-2025 год'!I211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год'!E212</f>
        <v>0</v>
      </c>
      <c r="F92" s="2">
        <f>'платные на 2024-2025 год'!F212</f>
        <v>0</v>
      </c>
      <c r="G92" s="5">
        <f t="shared" si="36"/>
        <v>0</v>
      </c>
      <c r="H92" s="2">
        <f>'платные на 2024-2025 год'!H212</f>
        <v>0</v>
      </c>
      <c r="I92" s="2">
        <f>'платные на 2024-2025 год'!I212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год'!E213</f>
        <v>0</v>
      </c>
      <c r="F93" s="2">
        <f>'платные на 2024-2025 год'!F213</f>
        <v>0</v>
      </c>
      <c r="G93" s="5">
        <f t="shared" si="36"/>
        <v>0</v>
      </c>
      <c r="H93" s="2">
        <f>'платные на 2024-2025 год'!H213</f>
        <v>0</v>
      </c>
      <c r="I93" s="2">
        <f>'платные на 2024-2025 год'!I213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год'!E214</f>
        <v>0</v>
      </c>
      <c r="F94" s="2">
        <f>'платные на 2024-2025 год'!F214</f>
        <v>0</v>
      </c>
      <c r="G94" s="5">
        <f t="shared" si="36"/>
        <v>0</v>
      </c>
      <c r="H94" s="2">
        <f>'платные на 2024-2025 год'!H214</f>
        <v>0</v>
      </c>
      <c r="I94" s="2">
        <f>'платные на 2024-2025 год'!I214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год'!E216</f>
        <v>0</v>
      </c>
      <c r="F95" s="2">
        <f>'платные на 2024-2025 год'!F216</f>
        <v>0</v>
      </c>
      <c r="G95" s="5">
        <f t="shared" si="36"/>
        <v>0</v>
      </c>
      <c r="H95" s="2">
        <f>'платные на 2024-2025 год'!H216</f>
        <v>0</v>
      </c>
      <c r="I95" s="2">
        <f>'платные на 2024-2025 год'!I216</f>
        <v>0</v>
      </c>
    </row>
    <row r="96" spans="1:9" x14ac:dyDescent="0.25">
      <c r="A96" s="11"/>
    </row>
    <row r="97" spans="1:6" ht="37.5" x14ac:dyDescent="0.3">
      <c r="A97" s="29" t="s">
        <v>52</v>
      </c>
      <c r="B97" s="227"/>
      <c r="C97" s="227"/>
      <c r="D97" s="10"/>
      <c r="E97" s="227"/>
      <c r="F97" s="227"/>
    </row>
    <row r="98" spans="1:6" ht="18.75" x14ac:dyDescent="0.3">
      <c r="A98" s="29"/>
      <c r="B98" s="226" t="s">
        <v>53</v>
      </c>
      <c r="C98" s="226"/>
      <c r="D98" s="10"/>
      <c r="E98" s="226" t="s">
        <v>54</v>
      </c>
      <c r="F98" s="226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7"/>
      <c r="C100" s="227"/>
      <c r="D100" s="10"/>
      <c r="E100" s="227"/>
      <c r="F100" s="227"/>
    </row>
    <row r="101" spans="1:6" ht="18.75" x14ac:dyDescent="0.3">
      <c r="A101" s="29"/>
      <c r="B101" s="226" t="s">
        <v>53</v>
      </c>
      <c r="C101" s="226"/>
      <c r="D101" s="10"/>
      <c r="E101" s="226" t="s">
        <v>54</v>
      </c>
      <c r="F101" s="226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7"/>
      <c r="C103" s="227"/>
      <c r="D103" s="10"/>
      <c r="E103" s="227"/>
      <c r="F103" s="227"/>
    </row>
    <row r="104" spans="1:6" ht="18.75" x14ac:dyDescent="0.3">
      <c r="A104" s="29"/>
      <c r="B104" s="226" t="s">
        <v>53</v>
      </c>
      <c r="C104" s="226"/>
      <c r="D104" s="10"/>
      <c r="E104" s="226" t="s">
        <v>54</v>
      </c>
      <c r="F104" s="226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25" t="s">
        <v>44</v>
      </c>
      <c r="B106" s="225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43" zoomScale="60" zoomScaleNormal="100" workbookViewId="0">
      <selection activeCell="A366" sqref="A366:XFD373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3"/>
      <c r="F1" s="323"/>
      <c r="G1" s="323"/>
    </row>
    <row r="2" spans="1:11" ht="40.15" customHeight="1" x14ac:dyDescent="0.25">
      <c r="A2" s="295" t="s">
        <v>257</v>
      </c>
      <c r="B2" s="295"/>
      <c r="C2" s="295"/>
      <c r="D2" s="295"/>
      <c r="E2" s="295"/>
      <c r="F2" s="295"/>
      <c r="G2" s="29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5" t="s">
        <v>181</v>
      </c>
      <c r="B4" s="295"/>
      <c r="C4" s="295"/>
      <c r="D4" s="295"/>
      <c r="E4" s="295"/>
      <c r="F4" s="295"/>
      <c r="G4" s="295"/>
    </row>
    <row r="5" spans="1:11" ht="35.450000000000003" customHeight="1" x14ac:dyDescent="0.25">
      <c r="A5" s="295" t="s">
        <v>168</v>
      </c>
      <c r="B5" s="295"/>
      <c r="C5" s="295"/>
      <c r="D5" s="295"/>
      <c r="E5" s="295"/>
      <c r="F5" s="295"/>
      <c r="G5" s="295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81" t="s">
        <v>166</v>
      </c>
      <c r="C9" s="281"/>
      <c r="D9" s="281" t="s">
        <v>167</v>
      </c>
      <c r="E9" s="281"/>
      <c r="F9" s="281" t="s">
        <v>94</v>
      </c>
      <c r="G9" s="281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81">
        <v>2</v>
      </c>
      <c r="C10" s="281"/>
      <c r="D10" s="281">
        <v>3</v>
      </c>
      <c r="E10" s="281"/>
      <c r="F10" s="281">
        <v>4</v>
      </c>
      <c r="G10" s="281"/>
      <c r="H10" s="50"/>
      <c r="I10" s="50"/>
      <c r="J10" s="50"/>
      <c r="K10" s="50"/>
    </row>
    <row r="11" spans="1:11" ht="37.5" x14ac:dyDescent="0.25">
      <c r="A11" s="13" t="s">
        <v>169</v>
      </c>
      <c r="B11" s="281"/>
      <c r="C11" s="281"/>
      <c r="D11" s="281"/>
      <c r="E11" s="281"/>
      <c r="F11" s="287">
        <f>'платные на 2023 год '!D12</f>
        <v>0</v>
      </c>
      <c r="G11" s="287"/>
    </row>
    <row r="12" spans="1:11" ht="18.75" x14ac:dyDescent="0.25">
      <c r="A12" s="13" t="s">
        <v>120</v>
      </c>
      <c r="B12" s="281"/>
      <c r="C12" s="281"/>
      <c r="D12" s="281"/>
      <c r="E12" s="281"/>
      <c r="F12" s="281"/>
      <c r="G12" s="281"/>
    </row>
    <row r="13" spans="1:11" ht="18.75" x14ac:dyDescent="0.25">
      <c r="A13" s="105"/>
    </row>
    <row r="14" spans="1:11" ht="43.9" customHeight="1" x14ac:dyDescent="0.25">
      <c r="A14" s="295" t="s">
        <v>174</v>
      </c>
      <c r="B14" s="295"/>
      <c r="C14" s="295"/>
      <c r="D14" s="295"/>
      <c r="E14" s="295"/>
      <c r="F14" s="295"/>
      <c r="G14" s="295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81" t="s">
        <v>172</v>
      </c>
      <c r="C18" s="281"/>
      <c r="D18" s="281" t="s">
        <v>173</v>
      </c>
      <c r="E18" s="281"/>
      <c r="F18" s="281" t="s">
        <v>171</v>
      </c>
      <c r="G18" s="281"/>
    </row>
    <row r="19" spans="1:11" ht="18.75" x14ac:dyDescent="0.25">
      <c r="A19" s="106">
        <v>1</v>
      </c>
      <c r="B19" s="281">
        <v>2</v>
      </c>
      <c r="C19" s="281"/>
      <c r="D19" s="281">
        <v>3</v>
      </c>
      <c r="E19" s="281"/>
      <c r="F19" s="281">
        <v>4</v>
      </c>
      <c r="G19" s="281"/>
    </row>
    <row r="20" spans="1:11" ht="112.5" x14ac:dyDescent="0.25">
      <c r="A20" s="13" t="s">
        <v>170</v>
      </c>
      <c r="B20" s="281" t="s">
        <v>117</v>
      </c>
      <c r="C20" s="281"/>
      <c r="D20" s="281" t="s">
        <v>117</v>
      </c>
      <c r="E20" s="281"/>
      <c r="F20" s="287">
        <v>0</v>
      </c>
      <c r="G20" s="287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81" t="s">
        <v>172</v>
      </c>
      <c r="C24" s="281"/>
      <c r="D24" s="281" t="s">
        <v>173</v>
      </c>
      <c r="E24" s="281"/>
      <c r="F24" s="281" t="s">
        <v>94</v>
      </c>
      <c r="G24" s="281"/>
    </row>
    <row r="25" spans="1:11" ht="18.75" x14ac:dyDescent="0.25">
      <c r="A25" s="106">
        <v>1</v>
      </c>
      <c r="B25" s="281">
        <v>2</v>
      </c>
      <c r="C25" s="281"/>
      <c r="D25" s="281">
        <v>3</v>
      </c>
      <c r="E25" s="281"/>
      <c r="F25" s="281">
        <v>4</v>
      </c>
      <c r="G25" s="281"/>
    </row>
    <row r="26" spans="1:11" ht="75" x14ac:dyDescent="0.25">
      <c r="A26" s="13" t="s">
        <v>164</v>
      </c>
      <c r="B26" s="281"/>
      <c r="C26" s="281"/>
      <c r="D26" s="281"/>
      <c r="E26" s="281"/>
      <c r="F26" s="287">
        <f>'платные на 2024-2025 год'!D13</f>
        <v>0</v>
      </c>
      <c r="G26" s="287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81" t="s">
        <v>172</v>
      </c>
      <c r="C30" s="281"/>
      <c r="D30" s="281" t="s">
        <v>173</v>
      </c>
      <c r="E30" s="281"/>
      <c r="F30" s="281" t="s">
        <v>183</v>
      </c>
      <c r="G30" s="281"/>
    </row>
    <row r="31" spans="1:11" ht="18.75" x14ac:dyDescent="0.25">
      <c r="A31" s="106">
        <v>1</v>
      </c>
      <c r="B31" s="281">
        <v>2</v>
      </c>
      <c r="C31" s="281"/>
      <c r="D31" s="281">
        <v>3</v>
      </c>
      <c r="E31" s="281"/>
      <c r="F31" s="281">
        <v>4</v>
      </c>
      <c r="G31" s="281"/>
    </row>
    <row r="32" spans="1:11" ht="93.75" x14ac:dyDescent="0.25">
      <c r="A32" s="13" t="s">
        <v>271</v>
      </c>
      <c r="B32" s="281" t="s">
        <v>117</v>
      </c>
      <c r="C32" s="281"/>
      <c r="D32" s="281" t="s">
        <v>117</v>
      </c>
      <c r="E32" s="281"/>
      <c r="F32" s="287">
        <f>'платные на 2024-2025 год'!D15</f>
        <v>0</v>
      </c>
      <c r="G32" s="287"/>
    </row>
    <row r="33" spans="1:7" ht="18.75" x14ac:dyDescent="0.25">
      <c r="A33" s="105"/>
    </row>
    <row r="34" spans="1:7" ht="18.75" x14ac:dyDescent="0.25">
      <c r="A34" s="295" t="s">
        <v>176</v>
      </c>
      <c r="B34" s="295"/>
      <c r="C34" s="295"/>
      <c r="D34" s="295"/>
      <c r="E34" s="295"/>
      <c r="F34" s="295"/>
      <c r="G34" s="295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3" t="s">
        <v>86</v>
      </c>
      <c r="B38" s="292"/>
      <c r="C38" s="264"/>
      <c r="D38" s="263" t="s">
        <v>165</v>
      </c>
      <c r="E38" s="292"/>
      <c r="F38" s="292"/>
      <c r="G38" s="264"/>
    </row>
    <row r="39" spans="1:7" ht="18.75" x14ac:dyDescent="0.25">
      <c r="A39" s="263">
        <v>1</v>
      </c>
      <c r="B39" s="292"/>
      <c r="C39" s="264"/>
      <c r="D39" s="263">
        <v>3</v>
      </c>
      <c r="E39" s="292"/>
      <c r="F39" s="292"/>
      <c r="G39" s="264"/>
    </row>
    <row r="40" spans="1:7" ht="18.75" x14ac:dyDescent="0.25">
      <c r="A40" s="258" t="s">
        <v>175</v>
      </c>
      <c r="B40" s="259"/>
      <c r="C40" s="260"/>
      <c r="D40" s="261">
        <f>'платные на 2024-2025 год'!D14</f>
        <v>0</v>
      </c>
      <c r="E40" s="316"/>
      <c r="F40" s="316"/>
      <c r="G40" s="262"/>
    </row>
    <row r="41" spans="1:7" ht="18.75" x14ac:dyDescent="0.25">
      <c r="A41" s="105"/>
    </row>
    <row r="42" spans="1:7" ht="18.75" x14ac:dyDescent="0.25">
      <c r="A42" s="295" t="s">
        <v>177</v>
      </c>
      <c r="B42" s="295"/>
      <c r="C42" s="295"/>
      <c r="D42" s="295"/>
      <c r="E42" s="295"/>
      <c r="F42" s="295"/>
      <c r="G42" s="295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81" t="s">
        <v>172</v>
      </c>
      <c r="C46" s="281"/>
      <c r="D46" s="281" t="s">
        <v>173</v>
      </c>
      <c r="E46" s="281"/>
      <c r="F46" s="281" t="s">
        <v>183</v>
      </c>
      <c r="G46" s="281"/>
    </row>
    <row r="47" spans="1:7" ht="18.75" x14ac:dyDescent="0.25">
      <c r="A47" s="106">
        <v>1</v>
      </c>
      <c r="B47" s="281">
        <v>2</v>
      </c>
      <c r="C47" s="281"/>
      <c r="D47" s="281">
        <v>3</v>
      </c>
      <c r="E47" s="281"/>
      <c r="F47" s="281">
        <v>4</v>
      </c>
      <c r="G47" s="281"/>
    </row>
    <row r="48" spans="1:7" ht="37.5" x14ac:dyDescent="0.25">
      <c r="A48" s="13" t="s">
        <v>272</v>
      </c>
      <c r="B48" s="281" t="s">
        <v>117</v>
      </c>
      <c r="C48" s="281"/>
      <c r="D48" s="281" t="s">
        <v>117</v>
      </c>
      <c r="E48" s="281"/>
      <c r="F48" s="287">
        <f>'платные на 2024-2025 год'!D16</f>
        <v>0</v>
      </c>
      <c r="G48" s="287"/>
    </row>
    <row r="49" spans="1:7" ht="18.75" x14ac:dyDescent="0.25">
      <c r="A49" s="105"/>
    </row>
    <row r="50" spans="1:7" ht="18.75" x14ac:dyDescent="0.25">
      <c r="A50" s="295" t="s">
        <v>187</v>
      </c>
      <c r="B50" s="295"/>
      <c r="C50" s="295"/>
      <c r="D50" s="295"/>
      <c r="E50" s="295"/>
      <c r="F50" s="295"/>
      <c r="G50" s="295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81" t="s">
        <v>172</v>
      </c>
      <c r="C54" s="281"/>
      <c r="D54" s="281" t="s">
        <v>173</v>
      </c>
      <c r="E54" s="281"/>
      <c r="F54" s="263" t="s">
        <v>171</v>
      </c>
      <c r="G54" s="264"/>
    </row>
    <row r="55" spans="1:7" ht="18.75" x14ac:dyDescent="0.25">
      <c r="A55" s="106">
        <v>1</v>
      </c>
      <c r="B55" s="281">
        <v>2</v>
      </c>
      <c r="C55" s="281"/>
      <c r="D55" s="281">
        <v>3</v>
      </c>
      <c r="E55" s="281"/>
      <c r="F55" s="281">
        <v>4</v>
      </c>
      <c r="G55" s="281"/>
    </row>
    <row r="56" spans="1:7" ht="58.9" customHeight="1" x14ac:dyDescent="0.25">
      <c r="A56" s="13" t="s">
        <v>184</v>
      </c>
      <c r="B56" s="281" t="s">
        <v>117</v>
      </c>
      <c r="C56" s="281"/>
      <c r="D56" s="281" t="s">
        <v>117</v>
      </c>
      <c r="E56" s="281"/>
      <c r="F56" s="287">
        <v>0</v>
      </c>
      <c r="G56" s="287"/>
    </row>
    <row r="57" spans="1:7" ht="18.75" x14ac:dyDescent="0.25">
      <c r="A57" s="105"/>
    </row>
    <row r="58" spans="1:7" ht="18.75" x14ac:dyDescent="0.25">
      <c r="A58" s="295" t="s">
        <v>178</v>
      </c>
      <c r="B58" s="295"/>
      <c r="C58" s="295"/>
      <c r="D58" s="295"/>
      <c r="E58" s="295"/>
      <c r="F58" s="295"/>
      <c r="G58" s="295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81" t="s">
        <v>142</v>
      </c>
      <c r="C62" s="281"/>
      <c r="D62" s="281" t="s">
        <v>182</v>
      </c>
      <c r="E62" s="281"/>
      <c r="F62" s="281" t="s">
        <v>94</v>
      </c>
      <c r="G62" s="281"/>
    </row>
    <row r="63" spans="1:7" ht="18.75" x14ac:dyDescent="0.25">
      <c r="A63" s="106">
        <v>1</v>
      </c>
      <c r="B63" s="281">
        <v>2</v>
      </c>
      <c r="C63" s="281"/>
      <c r="D63" s="281">
        <v>3</v>
      </c>
      <c r="E63" s="281"/>
      <c r="F63" s="281">
        <v>4</v>
      </c>
      <c r="G63" s="281"/>
    </row>
    <row r="64" spans="1:7" ht="56.25" x14ac:dyDescent="0.25">
      <c r="A64" s="13" t="s">
        <v>179</v>
      </c>
      <c r="B64" s="281" t="s">
        <v>117</v>
      </c>
      <c r="C64" s="281"/>
      <c r="D64" s="281" t="s">
        <v>117</v>
      </c>
      <c r="E64" s="281"/>
      <c r="F64" s="287">
        <f>'платные на 2024-2025 год'!D19</f>
        <v>0</v>
      </c>
      <c r="G64" s="287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81" t="s">
        <v>142</v>
      </c>
      <c r="C68" s="281"/>
      <c r="D68" s="281" t="s">
        <v>182</v>
      </c>
      <c r="E68" s="281"/>
      <c r="F68" s="281" t="s">
        <v>94</v>
      </c>
      <c r="G68" s="281"/>
    </row>
    <row r="69" spans="1:7" ht="18.75" x14ac:dyDescent="0.25">
      <c r="A69" s="106">
        <v>1</v>
      </c>
      <c r="B69" s="281">
        <v>2</v>
      </c>
      <c r="C69" s="281"/>
      <c r="D69" s="281">
        <v>3</v>
      </c>
      <c r="E69" s="281"/>
      <c r="F69" s="281">
        <v>4</v>
      </c>
      <c r="G69" s="281"/>
    </row>
    <row r="70" spans="1:7" ht="56.25" x14ac:dyDescent="0.25">
      <c r="A70" s="13" t="s">
        <v>179</v>
      </c>
      <c r="B70" s="281" t="s">
        <v>117</v>
      </c>
      <c r="C70" s="281"/>
      <c r="D70" s="281" t="s">
        <v>117</v>
      </c>
      <c r="E70" s="281"/>
      <c r="F70" s="287">
        <f>'платные на 2024-2025 год'!D20</f>
        <v>0</v>
      </c>
      <c r="G70" s="287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5" t="s">
        <v>254</v>
      </c>
      <c r="B72" s="295"/>
      <c r="C72" s="295"/>
      <c r="D72" s="295"/>
      <c r="E72" s="295"/>
      <c r="F72" s="295"/>
      <c r="G72" s="29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81" t="s">
        <v>142</v>
      </c>
      <c r="C76" s="281"/>
      <c r="D76" s="281" t="s">
        <v>182</v>
      </c>
      <c r="E76" s="281"/>
      <c r="F76" s="281" t="s">
        <v>94</v>
      </c>
      <c r="G76" s="281"/>
    </row>
    <row r="77" spans="1:7" ht="18.75" x14ac:dyDescent="0.25">
      <c r="A77" s="106">
        <v>1</v>
      </c>
      <c r="B77" s="281">
        <v>2</v>
      </c>
      <c r="C77" s="281"/>
      <c r="D77" s="281">
        <v>3</v>
      </c>
      <c r="E77" s="281"/>
      <c r="F77" s="281">
        <v>4</v>
      </c>
      <c r="G77" s="281"/>
    </row>
    <row r="78" spans="1:7" ht="150" x14ac:dyDescent="0.25">
      <c r="A78" s="13" t="s">
        <v>70</v>
      </c>
      <c r="B78" s="281" t="s">
        <v>117</v>
      </c>
      <c r="C78" s="281"/>
      <c r="D78" s="281" t="s">
        <v>117</v>
      </c>
      <c r="E78" s="281"/>
      <c r="F78" s="287">
        <f>'платные на 2024-2025 год'!D23</f>
        <v>0</v>
      </c>
      <c r="G78" s="287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81" t="s">
        <v>142</v>
      </c>
      <c r="C82" s="281"/>
      <c r="D82" s="281" t="s">
        <v>182</v>
      </c>
      <c r="E82" s="281"/>
      <c r="F82" s="281" t="s">
        <v>94</v>
      </c>
      <c r="G82" s="281"/>
    </row>
    <row r="83" spans="1:7" ht="18.75" x14ac:dyDescent="0.25">
      <c r="A83" s="106">
        <v>1</v>
      </c>
      <c r="B83" s="281">
        <v>2</v>
      </c>
      <c r="C83" s="281"/>
      <c r="D83" s="281">
        <v>3</v>
      </c>
      <c r="E83" s="281"/>
      <c r="F83" s="281">
        <v>4</v>
      </c>
      <c r="G83" s="281"/>
    </row>
    <row r="84" spans="1:7" ht="187.5" x14ac:dyDescent="0.25">
      <c r="A84" s="13" t="s">
        <v>273</v>
      </c>
      <c r="B84" s="281" t="s">
        <v>117</v>
      </c>
      <c r="C84" s="281"/>
      <c r="D84" s="281" t="s">
        <v>117</v>
      </c>
      <c r="E84" s="281"/>
      <c r="F84" s="287">
        <f>'платные на 2024-2025 год'!D24</f>
        <v>0</v>
      </c>
      <c r="G84" s="287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5" t="s">
        <v>260</v>
      </c>
      <c r="B86" s="295"/>
      <c r="C86" s="295"/>
      <c r="D86" s="295"/>
      <c r="E86" s="295"/>
      <c r="F86" s="295"/>
      <c r="G86" s="29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81" t="s">
        <v>142</v>
      </c>
      <c r="C90" s="281"/>
      <c r="D90" s="281" t="s">
        <v>182</v>
      </c>
      <c r="E90" s="281"/>
      <c r="F90" s="281" t="s">
        <v>94</v>
      </c>
      <c r="G90" s="281"/>
    </row>
    <row r="91" spans="1:7" ht="18.75" x14ac:dyDescent="0.25">
      <c r="A91" s="106">
        <v>1</v>
      </c>
      <c r="B91" s="281">
        <v>2</v>
      </c>
      <c r="C91" s="281"/>
      <c r="D91" s="281">
        <v>3</v>
      </c>
      <c r="E91" s="281"/>
      <c r="F91" s="281">
        <v>4</v>
      </c>
      <c r="G91" s="281"/>
    </row>
    <row r="92" spans="1:7" ht="37.5" x14ac:dyDescent="0.25">
      <c r="A92" s="103" t="s">
        <v>194</v>
      </c>
      <c r="B92" s="263" t="s">
        <v>117</v>
      </c>
      <c r="C92" s="264"/>
      <c r="D92" s="263" t="s">
        <v>117</v>
      </c>
      <c r="E92" s="264"/>
      <c r="F92" s="287">
        <f>'платные на 2024-2025 год'!D110</f>
        <v>0</v>
      </c>
      <c r="G92" s="281"/>
    </row>
    <row r="93" spans="1:7" ht="56.25" x14ac:dyDescent="0.25">
      <c r="A93" s="103" t="s">
        <v>195</v>
      </c>
      <c r="B93" s="263" t="s">
        <v>117</v>
      </c>
      <c r="C93" s="264"/>
      <c r="D93" s="263" t="s">
        <v>117</v>
      </c>
      <c r="E93" s="264"/>
      <c r="F93" s="287">
        <f>'платные на 2024-2025 год'!D111</f>
        <v>0</v>
      </c>
      <c r="G93" s="281"/>
    </row>
    <row r="94" spans="1:7" ht="57" thickBot="1" x14ac:dyDescent="0.3">
      <c r="A94" s="32" t="s">
        <v>196</v>
      </c>
      <c r="B94" s="263" t="s">
        <v>117</v>
      </c>
      <c r="C94" s="264"/>
      <c r="D94" s="263" t="s">
        <v>117</v>
      </c>
      <c r="E94" s="264"/>
      <c r="F94" s="287">
        <f>'платные на 2024-2025 год'!D112</f>
        <v>0</v>
      </c>
      <c r="G94" s="281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5" t="s">
        <v>188</v>
      </c>
      <c r="B96" s="295"/>
      <c r="C96" s="295"/>
      <c r="D96" s="295"/>
      <c r="E96" s="295"/>
      <c r="F96" s="295"/>
      <c r="G96" s="295"/>
    </row>
    <row r="97" spans="1:7" ht="18.75" x14ac:dyDescent="0.25">
      <c r="A97" s="8"/>
    </row>
    <row r="98" spans="1:7" ht="18.75" x14ac:dyDescent="0.25">
      <c r="A98" s="280" t="s">
        <v>189</v>
      </c>
      <c r="B98" s="280"/>
      <c r="C98" s="280"/>
      <c r="D98" s="280"/>
      <c r="E98" s="280"/>
      <c r="F98" s="280"/>
      <c r="G98" s="280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1" t="s">
        <v>76</v>
      </c>
      <c r="B102" s="281" t="s">
        <v>77</v>
      </c>
      <c r="C102" s="281" t="s">
        <v>78</v>
      </c>
      <c r="D102" s="281"/>
      <c r="E102" s="281"/>
      <c r="F102" s="281"/>
      <c r="G102" s="281" t="s">
        <v>79</v>
      </c>
    </row>
    <row r="103" spans="1:7" ht="18.75" x14ac:dyDescent="0.25">
      <c r="A103" s="281"/>
      <c r="B103" s="281"/>
      <c r="C103" s="281" t="s">
        <v>80</v>
      </c>
      <c r="D103" s="281" t="s">
        <v>6</v>
      </c>
      <c r="E103" s="281"/>
      <c r="F103" s="281"/>
      <c r="G103" s="281"/>
    </row>
    <row r="104" spans="1:7" ht="75" x14ac:dyDescent="0.25">
      <c r="A104" s="281"/>
      <c r="B104" s="281"/>
      <c r="C104" s="281"/>
      <c r="D104" s="12" t="s">
        <v>81</v>
      </c>
      <c r="E104" s="12" t="s">
        <v>82</v>
      </c>
      <c r="F104" s="12" t="s">
        <v>83</v>
      </c>
      <c r="G104" s="281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год'!D69</f>
        <v>0</v>
      </c>
    </row>
    <row r="108" spans="1:7" ht="18.75" x14ac:dyDescent="0.25">
      <c r="A108" s="8"/>
    </row>
    <row r="109" spans="1:7" ht="18.75" x14ac:dyDescent="0.25">
      <c r="A109" s="280" t="s">
        <v>180</v>
      </c>
      <c r="B109" s="280"/>
      <c r="C109" s="280"/>
      <c r="D109" s="280"/>
      <c r="E109" s="280"/>
      <c r="F109" s="280"/>
      <c r="G109" s="280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81" t="s">
        <v>84</v>
      </c>
      <c r="B113" s="281" t="s">
        <v>244</v>
      </c>
      <c r="C113" s="281"/>
      <c r="D113" s="281" t="s">
        <v>185</v>
      </c>
      <c r="E113" s="281"/>
      <c r="F113" s="281" t="s">
        <v>85</v>
      </c>
      <c r="G113" s="281"/>
    </row>
    <row r="114" spans="1:7" ht="15" customHeight="1" x14ac:dyDescent="0.25">
      <c r="A114" s="281"/>
      <c r="B114" s="281"/>
      <c r="C114" s="281"/>
      <c r="D114" s="281"/>
      <c r="E114" s="281"/>
      <c r="F114" s="281"/>
      <c r="G114" s="281"/>
    </row>
    <row r="115" spans="1:7" ht="18.75" x14ac:dyDescent="0.25">
      <c r="A115" s="106">
        <v>1</v>
      </c>
      <c r="B115" s="281">
        <v>2</v>
      </c>
      <c r="C115" s="281"/>
      <c r="D115" s="281">
        <v>3</v>
      </c>
      <c r="E115" s="281"/>
      <c r="F115" s="281">
        <v>4</v>
      </c>
      <c r="G115" s="281"/>
    </row>
    <row r="116" spans="1:7" ht="18.75" x14ac:dyDescent="0.25">
      <c r="A116" s="13"/>
      <c r="B116" s="287">
        <f>'платные на 2024-2025 год'!D31+'платные на 2024-2025 год'!D33+'платные на 2024-2025 год'!D69</f>
        <v>0</v>
      </c>
      <c r="C116" s="287"/>
      <c r="D116" s="287">
        <f>G107</f>
        <v>0</v>
      </c>
      <c r="E116" s="287"/>
      <c r="F116" s="287">
        <f>B116-D116</f>
        <v>0</v>
      </c>
      <c r="G116" s="287"/>
    </row>
    <row r="117" spans="1:7" ht="18.75" x14ac:dyDescent="0.25">
      <c r="A117" s="8"/>
    </row>
    <row r="118" spans="1:7" ht="51" customHeight="1" x14ac:dyDescent="0.25">
      <c r="A118" s="288" t="s">
        <v>203</v>
      </c>
      <c r="B118" s="288"/>
      <c r="C118" s="288"/>
      <c r="D118" s="288"/>
      <c r="E118" s="288"/>
      <c r="F118" s="288"/>
      <c r="G118" s="288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81" t="s">
        <v>88</v>
      </c>
      <c r="D122" s="281"/>
      <c r="E122" s="106" t="s">
        <v>89</v>
      </c>
      <c r="F122" s="281" t="s">
        <v>90</v>
      </c>
      <c r="G122" s="281"/>
    </row>
    <row r="123" spans="1:7" ht="18.75" x14ac:dyDescent="0.25">
      <c r="A123" s="106">
        <v>1</v>
      </c>
      <c r="B123" s="106">
        <v>2</v>
      </c>
      <c r="C123" s="281">
        <v>3</v>
      </c>
      <c r="D123" s="281"/>
      <c r="E123" s="106">
        <v>4</v>
      </c>
      <c r="F123" s="281">
        <v>5</v>
      </c>
      <c r="G123" s="281"/>
    </row>
    <row r="124" spans="1:7" ht="18.75" x14ac:dyDescent="0.25">
      <c r="A124" s="13" t="s">
        <v>91</v>
      </c>
      <c r="B124" s="109"/>
      <c r="C124" s="281"/>
      <c r="D124" s="281"/>
      <c r="E124" s="14"/>
      <c r="F124" s="287">
        <f>'платные на 2024-2025 год'!D32</f>
        <v>0</v>
      </c>
      <c r="G124" s="287"/>
    </row>
    <row r="125" spans="1:7" ht="18.75" x14ac:dyDescent="0.25">
      <c r="A125" s="8"/>
    </row>
    <row r="126" spans="1:7" ht="33" customHeight="1" x14ac:dyDescent="0.25">
      <c r="A126" s="288" t="s">
        <v>227</v>
      </c>
      <c r="B126" s="288"/>
      <c r="C126" s="288"/>
      <c r="D126" s="288"/>
      <c r="E126" s="288"/>
      <c r="F126" s="288"/>
      <c r="G126" s="288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3" t="s">
        <v>229</v>
      </c>
      <c r="D130" s="292"/>
      <c r="E130" s="264"/>
      <c r="F130" s="281" t="s">
        <v>94</v>
      </c>
      <c r="G130" s="281"/>
    </row>
    <row r="131" spans="1:7" ht="18.75" x14ac:dyDescent="0.25">
      <c r="A131" s="106">
        <v>1</v>
      </c>
      <c r="B131" s="106">
        <v>2</v>
      </c>
      <c r="C131" s="263">
        <v>3</v>
      </c>
      <c r="D131" s="292"/>
      <c r="E131" s="264"/>
      <c r="F131" s="281">
        <v>4</v>
      </c>
      <c r="G131" s="281"/>
    </row>
    <row r="132" spans="1:7" ht="18.75" x14ac:dyDescent="0.25">
      <c r="A132" s="13"/>
      <c r="B132" s="109"/>
      <c r="C132" s="263"/>
      <c r="D132" s="292"/>
      <c r="E132" s="264"/>
      <c r="F132" s="287">
        <f>'платные на 2024-2025 год'!D35</f>
        <v>0</v>
      </c>
      <c r="G132" s="287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8" t="s">
        <v>204</v>
      </c>
      <c r="B134" s="288"/>
      <c r="C134" s="288"/>
      <c r="D134" s="288"/>
      <c r="E134" s="288"/>
      <c r="F134" s="288"/>
      <c r="G134" s="288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81" t="s">
        <v>86</v>
      </c>
      <c r="B138" s="281"/>
      <c r="C138" s="106" t="s">
        <v>92</v>
      </c>
      <c r="D138" s="281" t="s">
        <v>93</v>
      </c>
      <c r="E138" s="281"/>
      <c r="F138" s="281" t="s">
        <v>94</v>
      </c>
      <c r="G138" s="281"/>
    </row>
    <row r="139" spans="1:7" ht="18.75" x14ac:dyDescent="0.25">
      <c r="A139" s="263">
        <v>1</v>
      </c>
      <c r="B139" s="264"/>
      <c r="C139" s="106">
        <v>2</v>
      </c>
      <c r="D139" s="263">
        <v>3</v>
      </c>
      <c r="E139" s="264"/>
      <c r="F139" s="263">
        <v>4</v>
      </c>
      <c r="G139" s="264"/>
    </row>
    <row r="140" spans="1:7" ht="18.75" x14ac:dyDescent="0.25">
      <c r="A140" s="263"/>
      <c r="B140" s="264"/>
      <c r="C140" s="106"/>
      <c r="D140" s="263"/>
      <c r="E140" s="264"/>
      <c r="F140" s="261">
        <f>'платные на 2024-2025 год'!D41</f>
        <v>0</v>
      </c>
      <c r="G140" s="262"/>
    </row>
    <row r="141" spans="1:7" ht="18.75" x14ac:dyDescent="0.25">
      <c r="A141" s="8"/>
    </row>
    <row r="142" spans="1:7" ht="36.6" customHeight="1" x14ac:dyDescent="0.25">
      <c r="A142" s="288" t="s">
        <v>205</v>
      </c>
      <c r="B142" s="288"/>
      <c r="C142" s="288"/>
      <c r="D142" s="288"/>
      <c r="E142" s="288"/>
      <c r="F142" s="288"/>
      <c r="G142" s="288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81" t="s">
        <v>88</v>
      </c>
      <c r="D146" s="281"/>
      <c r="E146" s="106" t="s">
        <v>89</v>
      </c>
      <c r="F146" s="281" t="s">
        <v>90</v>
      </c>
      <c r="G146" s="281"/>
    </row>
    <row r="147" spans="1:7" ht="18.75" x14ac:dyDescent="0.25">
      <c r="A147" s="106">
        <v>1</v>
      </c>
      <c r="B147" s="106">
        <v>2</v>
      </c>
      <c r="C147" s="281">
        <v>3</v>
      </c>
      <c r="D147" s="281"/>
      <c r="E147" s="106">
        <v>4</v>
      </c>
      <c r="F147" s="281">
        <v>5</v>
      </c>
      <c r="G147" s="281"/>
    </row>
    <row r="148" spans="1:7" ht="37.5" x14ac:dyDescent="0.25">
      <c r="A148" s="13" t="s">
        <v>95</v>
      </c>
      <c r="B148" s="109"/>
      <c r="C148" s="281"/>
      <c r="D148" s="281"/>
      <c r="E148" s="14"/>
      <c r="F148" s="287">
        <f>'платные на 2024-2025 год'!D55</f>
        <v>0</v>
      </c>
      <c r="G148" s="287"/>
    </row>
    <row r="149" spans="1:7" ht="18.75" x14ac:dyDescent="0.25">
      <c r="A149" s="8"/>
    </row>
    <row r="150" spans="1:7" ht="41.45" customHeight="1" x14ac:dyDescent="0.25">
      <c r="A150" s="288" t="s">
        <v>206</v>
      </c>
      <c r="B150" s="288"/>
      <c r="C150" s="288"/>
      <c r="D150" s="288"/>
      <c r="E150" s="288"/>
      <c r="F150" s="288"/>
      <c r="G150" s="288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81" t="s">
        <v>97</v>
      </c>
      <c r="D154" s="281"/>
      <c r="E154" s="106" t="s">
        <v>89</v>
      </c>
      <c r="F154" s="281" t="s">
        <v>90</v>
      </c>
      <c r="G154" s="281"/>
    </row>
    <row r="155" spans="1:7" ht="18.75" x14ac:dyDescent="0.3">
      <c r="A155" s="106">
        <v>1</v>
      </c>
      <c r="B155" s="106">
        <v>2</v>
      </c>
      <c r="C155" s="281">
        <v>3</v>
      </c>
      <c r="D155" s="281"/>
      <c r="E155" s="106">
        <v>4</v>
      </c>
      <c r="F155" s="254">
        <v>5</v>
      </c>
      <c r="G155" s="255"/>
    </row>
    <row r="156" spans="1:7" ht="93.75" x14ac:dyDescent="0.25">
      <c r="A156" s="13" t="s">
        <v>98</v>
      </c>
      <c r="B156" s="107"/>
      <c r="C156" s="287"/>
      <c r="D156" s="287"/>
      <c r="E156" s="79"/>
      <c r="F156" s="305">
        <f>'платные на 2024-2025 год'!D56</f>
        <v>0</v>
      </c>
      <c r="G156" s="306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81" t="s">
        <v>97</v>
      </c>
      <c r="D160" s="281"/>
      <c r="E160" s="106" t="s">
        <v>89</v>
      </c>
      <c r="F160" s="281" t="s">
        <v>90</v>
      </c>
      <c r="G160" s="281"/>
    </row>
    <row r="161" spans="1:7" ht="18.75" x14ac:dyDescent="0.3">
      <c r="A161" s="106">
        <v>1</v>
      </c>
      <c r="B161" s="106">
        <v>2</v>
      </c>
      <c r="C161" s="281">
        <v>3</v>
      </c>
      <c r="D161" s="281"/>
      <c r="E161" s="106">
        <v>4</v>
      </c>
      <c r="F161" s="254">
        <v>5</v>
      </c>
      <c r="G161" s="255"/>
    </row>
    <row r="162" spans="1:7" ht="75" x14ac:dyDescent="0.25">
      <c r="A162" s="13" t="s">
        <v>157</v>
      </c>
      <c r="B162" s="107"/>
      <c r="C162" s="287"/>
      <c r="D162" s="287"/>
      <c r="E162" s="79"/>
      <c r="F162" s="305">
        <f>'платные на 2024-2025 год'!D57</f>
        <v>0</v>
      </c>
      <c r="G162" s="306"/>
    </row>
    <row r="163" spans="1:7" ht="18.75" x14ac:dyDescent="0.25">
      <c r="A163" s="13" t="s">
        <v>120</v>
      </c>
      <c r="B163" s="109"/>
      <c r="C163" s="263"/>
      <c r="D163" s="264"/>
      <c r="E163" s="14"/>
      <c r="F163" s="342"/>
      <c r="G163" s="344"/>
    </row>
    <row r="164" spans="1:7" ht="18.75" x14ac:dyDescent="0.25">
      <c r="A164" s="8"/>
    </row>
    <row r="165" spans="1:7" ht="36" customHeight="1" x14ac:dyDescent="0.25">
      <c r="A165" s="288" t="s">
        <v>207</v>
      </c>
      <c r="B165" s="288"/>
      <c r="C165" s="288"/>
      <c r="D165" s="288"/>
      <c r="E165" s="288"/>
      <c r="F165" s="288"/>
      <c r="G165" s="288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81" t="s">
        <v>99</v>
      </c>
      <c r="C169" s="281"/>
      <c r="D169" s="281" t="s">
        <v>100</v>
      </c>
      <c r="E169" s="281"/>
      <c r="F169" s="281" t="s">
        <v>101</v>
      </c>
      <c r="G169" s="281"/>
    </row>
    <row r="170" spans="1:7" ht="18.75" x14ac:dyDescent="0.3">
      <c r="A170" s="106">
        <v>1</v>
      </c>
      <c r="B170" s="263">
        <v>2</v>
      </c>
      <c r="C170" s="264"/>
      <c r="D170" s="263">
        <v>3</v>
      </c>
      <c r="E170" s="264"/>
      <c r="F170" s="254">
        <v>4</v>
      </c>
      <c r="G170" s="255"/>
    </row>
    <row r="171" spans="1:7" ht="93.75" x14ac:dyDescent="0.25">
      <c r="A171" s="13" t="s">
        <v>102</v>
      </c>
      <c r="B171" s="263"/>
      <c r="C171" s="264"/>
      <c r="D171" s="263"/>
      <c r="E171" s="264"/>
      <c r="F171" s="305">
        <f>'платные на 2024-2025 год'!D69</f>
        <v>0</v>
      </c>
      <c r="G171" s="306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81" t="s">
        <v>104</v>
      </c>
      <c r="E175" s="281"/>
      <c r="F175" s="281" t="s">
        <v>90</v>
      </c>
      <c r="G175" s="281"/>
    </row>
    <row r="176" spans="1:7" ht="18.75" x14ac:dyDescent="0.25">
      <c r="A176" s="106">
        <v>1</v>
      </c>
      <c r="B176" s="106">
        <v>2</v>
      </c>
      <c r="C176" s="106">
        <v>3</v>
      </c>
      <c r="D176" s="281">
        <v>4</v>
      </c>
      <c r="E176" s="281"/>
      <c r="F176" s="281">
        <v>5</v>
      </c>
      <c r="G176" s="281"/>
    </row>
    <row r="177" spans="1:7" ht="56.25" x14ac:dyDescent="0.25">
      <c r="A177" s="13" t="s">
        <v>105</v>
      </c>
      <c r="B177" s="109"/>
      <c r="C177" s="106"/>
      <c r="D177" s="263"/>
      <c r="E177" s="264"/>
      <c r="F177" s="261">
        <f>'платные на 2024-2025 год'!D72</f>
        <v>0</v>
      </c>
      <c r="G177" s="262"/>
    </row>
    <row r="178" spans="1:7" ht="18.75" x14ac:dyDescent="0.25">
      <c r="A178" s="8"/>
    </row>
    <row r="179" spans="1:7" ht="31.9" customHeight="1" x14ac:dyDescent="0.25">
      <c r="A179" s="280" t="s">
        <v>208</v>
      </c>
      <c r="B179" s="280"/>
      <c r="C179" s="280"/>
      <c r="D179" s="280"/>
      <c r="E179" s="280"/>
      <c r="F179" s="280"/>
      <c r="G179" s="280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81" t="s">
        <v>106</v>
      </c>
      <c r="C183" s="281"/>
      <c r="D183" s="281" t="s">
        <v>107</v>
      </c>
      <c r="E183" s="281"/>
      <c r="F183" s="281" t="s">
        <v>108</v>
      </c>
      <c r="G183" s="281"/>
    </row>
    <row r="184" spans="1:7" ht="18.75" x14ac:dyDescent="0.25">
      <c r="A184" s="106">
        <v>1</v>
      </c>
      <c r="B184" s="263">
        <v>2</v>
      </c>
      <c r="C184" s="264"/>
      <c r="D184" s="263">
        <v>3</v>
      </c>
      <c r="E184" s="264"/>
      <c r="F184" s="263">
        <v>4</v>
      </c>
      <c r="G184" s="264"/>
    </row>
    <row r="185" spans="1:7" ht="131.25" x14ac:dyDescent="0.25">
      <c r="A185" s="13" t="s">
        <v>27</v>
      </c>
      <c r="B185" s="281"/>
      <c r="C185" s="281"/>
      <c r="D185" s="281"/>
      <c r="E185" s="281"/>
      <c r="F185" s="287">
        <f>'платные на 2024-2025 год'!D66</f>
        <v>0</v>
      </c>
      <c r="G185" s="287"/>
    </row>
    <row r="186" spans="1:7" ht="18.75" x14ac:dyDescent="0.25">
      <c r="A186" s="13" t="s">
        <v>156</v>
      </c>
      <c r="B186" s="281"/>
      <c r="C186" s="281"/>
      <c r="D186" s="281"/>
      <c r="E186" s="281"/>
      <c r="F186" s="287"/>
      <c r="G186" s="287"/>
    </row>
    <row r="187" spans="1:7" ht="18.75" x14ac:dyDescent="0.25">
      <c r="A187" s="8"/>
    </row>
    <row r="188" spans="1:7" ht="34.9" customHeight="1" x14ac:dyDescent="0.25">
      <c r="A188" s="288" t="s">
        <v>226</v>
      </c>
      <c r="B188" s="288"/>
      <c r="C188" s="288"/>
      <c r="D188" s="288"/>
      <c r="E188" s="288"/>
      <c r="F188" s="288"/>
      <c r="G188" s="288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81" t="s">
        <v>109</v>
      </c>
      <c r="C191" s="281"/>
      <c r="D191" s="281" t="s">
        <v>110</v>
      </c>
      <c r="E191" s="281"/>
      <c r="F191" s="281" t="s">
        <v>111</v>
      </c>
      <c r="G191" s="281"/>
    </row>
    <row r="192" spans="1:7" ht="18.75" x14ac:dyDescent="0.25">
      <c r="A192" s="106">
        <v>1</v>
      </c>
      <c r="B192" s="263">
        <v>2</v>
      </c>
      <c r="C192" s="264"/>
      <c r="D192" s="293">
        <v>3</v>
      </c>
      <c r="E192" s="294"/>
      <c r="F192" s="293">
        <v>4</v>
      </c>
      <c r="G192" s="294"/>
    </row>
    <row r="193" spans="1:7" ht="37.5" x14ac:dyDescent="0.25">
      <c r="A193" s="13" t="s">
        <v>112</v>
      </c>
      <c r="B193" s="293"/>
      <c r="C193" s="294"/>
      <c r="D193" s="293"/>
      <c r="E193" s="294"/>
      <c r="F193" s="346">
        <f>'платные на 2024-2025 год'!D76</f>
        <v>0</v>
      </c>
      <c r="G193" s="347"/>
    </row>
    <row r="194" spans="1:7" ht="37.5" x14ac:dyDescent="0.25">
      <c r="A194" s="13" t="s">
        <v>113</v>
      </c>
      <c r="B194" s="293"/>
      <c r="C194" s="294"/>
      <c r="D194" s="293"/>
      <c r="E194" s="294"/>
      <c r="F194" s="348"/>
      <c r="G194" s="349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81" t="s">
        <v>109</v>
      </c>
      <c r="C198" s="281"/>
      <c r="D198" s="281" t="s">
        <v>110</v>
      </c>
      <c r="E198" s="281"/>
      <c r="F198" s="281" t="s">
        <v>115</v>
      </c>
      <c r="G198" s="281"/>
    </row>
    <row r="199" spans="1:7" ht="18.75" x14ac:dyDescent="0.3">
      <c r="A199" s="106">
        <v>1</v>
      </c>
      <c r="B199" s="263">
        <v>2</v>
      </c>
      <c r="C199" s="264"/>
      <c r="D199" s="263">
        <v>3</v>
      </c>
      <c r="E199" s="264"/>
      <c r="F199" s="254">
        <v>4</v>
      </c>
      <c r="G199" s="255"/>
    </row>
    <row r="200" spans="1:7" ht="39" customHeight="1" x14ac:dyDescent="0.25">
      <c r="A200" s="13" t="s">
        <v>116</v>
      </c>
      <c r="B200" s="263" t="s">
        <v>117</v>
      </c>
      <c r="C200" s="264"/>
      <c r="D200" s="263" t="s">
        <v>117</v>
      </c>
      <c r="E200" s="264"/>
      <c r="F200" s="305">
        <f>'платные на 2024-2025 год'!D77</f>
        <v>0</v>
      </c>
      <c r="G200" s="307"/>
    </row>
    <row r="201" spans="1:7" ht="18.75" x14ac:dyDescent="0.25">
      <c r="A201" s="13" t="s">
        <v>118</v>
      </c>
      <c r="B201" s="293"/>
      <c r="C201" s="294"/>
      <c r="D201" s="293"/>
      <c r="E201" s="294"/>
      <c r="F201" s="293"/>
      <c r="G201" s="294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81" t="s">
        <v>109</v>
      </c>
      <c r="C205" s="281"/>
      <c r="D205" s="281" t="s">
        <v>110</v>
      </c>
      <c r="E205" s="281"/>
      <c r="F205" s="281" t="s">
        <v>115</v>
      </c>
      <c r="G205" s="281"/>
    </row>
    <row r="206" spans="1:7" ht="18.75" x14ac:dyDescent="0.3">
      <c r="A206" s="106">
        <v>1</v>
      </c>
      <c r="B206" s="263">
        <v>2</v>
      </c>
      <c r="C206" s="264"/>
      <c r="D206" s="263">
        <v>3</v>
      </c>
      <c r="E206" s="264"/>
      <c r="F206" s="254">
        <v>4</v>
      </c>
      <c r="G206" s="255"/>
    </row>
    <row r="207" spans="1:7" ht="49.15" customHeight="1" x14ac:dyDescent="0.25">
      <c r="A207" s="13" t="s">
        <v>155</v>
      </c>
      <c r="B207" s="263" t="s">
        <v>117</v>
      </c>
      <c r="C207" s="264"/>
      <c r="D207" s="263" t="s">
        <v>117</v>
      </c>
      <c r="E207" s="264"/>
      <c r="F207" s="305">
        <f>'платные на 2024-2025 год'!D78</f>
        <v>0</v>
      </c>
      <c r="G207" s="306"/>
    </row>
    <row r="208" spans="1:7" ht="15" customHeight="1" x14ac:dyDescent="0.25">
      <c r="A208" s="13" t="s">
        <v>118</v>
      </c>
      <c r="B208" s="293"/>
      <c r="C208" s="294"/>
      <c r="D208" s="293"/>
      <c r="E208" s="294"/>
      <c r="F208" s="340"/>
      <c r="G208" s="341"/>
    </row>
    <row r="209" spans="1:7" ht="18.75" x14ac:dyDescent="0.25">
      <c r="A209" s="8"/>
    </row>
    <row r="210" spans="1:7" ht="45" customHeight="1" x14ac:dyDescent="0.25">
      <c r="A210" s="288" t="s">
        <v>209</v>
      </c>
      <c r="B210" s="288"/>
      <c r="C210" s="288"/>
      <c r="D210" s="288"/>
      <c r="E210" s="288"/>
      <c r="F210" s="288"/>
      <c r="G210" s="288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81" t="s">
        <v>106</v>
      </c>
      <c r="C214" s="281"/>
      <c r="D214" s="281" t="s">
        <v>107</v>
      </c>
      <c r="E214" s="281"/>
      <c r="F214" s="281" t="s">
        <v>108</v>
      </c>
      <c r="G214" s="281"/>
    </row>
    <row r="215" spans="1:7" ht="18.75" x14ac:dyDescent="0.25">
      <c r="A215" s="106">
        <v>1</v>
      </c>
      <c r="B215" s="281">
        <v>2</v>
      </c>
      <c r="C215" s="281"/>
      <c r="D215" s="281">
        <v>3</v>
      </c>
      <c r="E215" s="281"/>
      <c r="F215" s="281">
        <v>4</v>
      </c>
      <c r="G215" s="281"/>
    </row>
    <row r="216" spans="1:7" ht="18.75" x14ac:dyDescent="0.25">
      <c r="A216" s="13"/>
      <c r="B216" s="319"/>
      <c r="C216" s="319"/>
      <c r="D216" s="319"/>
      <c r="E216" s="319"/>
      <c r="F216" s="320">
        <f>'платные на 2024-2025 год'!D84</f>
        <v>0</v>
      </c>
      <c r="G216" s="320"/>
    </row>
    <row r="217" spans="1:7" ht="18.75" x14ac:dyDescent="0.25">
      <c r="A217" s="13"/>
      <c r="B217" s="319"/>
      <c r="C217" s="319"/>
      <c r="D217" s="319"/>
      <c r="E217" s="319"/>
      <c r="F217" s="320"/>
      <c r="G217" s="320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81" t="s">
        <v>106</v>
      </c>
      <c r="C221" s="281"/>
      <c r="D221" s="281" t="s">
        <v>107</v>
      </c>
      <c r="E221" s="281"/>
      <c r="F221" s="281" t="s">
        <v>108</v>
      </c>
      <c r="G221" s="281"/>
    </row>
    <row r="222" spans="1:7" ht="18" customHeight="1" x14ac:dyDescent="0.25">
      <c r="A222" s="106">
        <v>1</v>
      </c>
      <c r="B222" s="281">
        <v>2</v>
      </c>
      <c r="C222" s="281"/>
      <c r="D222" s="281">
        <v>3</v>
      </c>
      <c r="E222" s="281"/>
      <c r="F222" s="281">
        <v>4</v>
      </c>
      <c r="G222" s="281"/>
    </row>
    <row r="223" spans="1:7" ht="18" customHeight="1" x14ac:dyDescent="0.25">
      <c r="A223" s="13"/>
      <c r="B223" s="319"/>
      <c r="C223" s="319"/>
      <c r="D223" s="319"/>
      <c r="E223" s="319"/>
      <c r="F223" s="320">
        <f>'платные на 2024-2025 год'!D85</f>
        <v>0</v>
      </c>
      <c r="G223" s="320"/>
    </row>
    <row r="224" spans="1:7" ht="18" customHeight="1" x14ac:dyDescent="0.25">
      <c r="A224" s="13"/>
      <c r="B224" s="319"/>
      <c r="C224" s="319"/>
      <c r="D224" s="319"/>
      <c r="E224" s="319"/>
      <c r="F224" s="320"/>
      <c r="G224" s="320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81" t="s">
        <v>106</v>
      </c>
      <c r="C228" s="281"/>
      <c r="D228" s="281" t="s">
        <v>107</v>
      </c>
      <c r="E228" s="281"/>
      <c r="F228" s="281" t="s">
        <v>108</v>
      </c>
      <c r="G228" s="281"/>
    </row>
    <row r="229" spans="1:7" ht="18" customHeight="1" x14ac:dyDescent="0.25">
      <c r="A229" s="106">
        <v>1</v>
      </c>
      <c r="B229" s="281">
        <v>2</v>
      </c>
      <c r="C229" s="281"/>
      <c r="D229" s="281">
        <v>3</v>
      </c>
      <c r="E229" s="281"/>
      <c r="F229" s="281">
        <v>4</v>
      </c>
      <c r="G229" s="281"/>
    </row>
    <row r="230" spans="1:7" ht="18" customHeight="1" x14ac:dyDescent="0.25">
      <c r="A230" s="13"/>
      <c r="B230" s="319"/>
      <c r="C230" s="319"/>
      <c r="D230" s="319"/>
      <c r="E230" s="319"/>
      <c r="F230" s="320">
        <f>'платные на 2024-2025 год'!D86</f>
        <v>0</v>
      </c>
      <c r="G230" s="320"/>
    </row>
    <row r="231" spans="1:7" ht="18" customHeight="1" x14ac:dyDescent="0.25">
      <c r="A231" s="13"/>
      <c r="B231" s="319"/>
      <c r="C231" s="319"/>
      <c r="D231" s="319"/>
      <c r="E231" s="319"/>
      <c r="F231" s="320"/>
      <c r="G231" s="320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8" t="s">
        <v>213</v>
      </c>
      <c r="B233" s="288"/>
      <c r="C233" s="288"/>
      <c r="D233" s="288"/>
      <c r="E233" s="288"/>
      <c r="F233" s="288"/>
      <c r="G233" s="288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81" t="s">
        <v>109</v>
      </c>
      <c r="C236" s="281"/>
      <c r="D236" s="281" t="s">
        <v>110</v>
      </c>
      <c r="E236" s="281"/>
      <c r="F236" s="281" t="s">
        <v>111</v>
      </c>
      <c r="G236" s="281"/>
    </row>
    <row r="237" spans="1:7" ht="18" customHeight="1" x14ac:dyDescent="0.25">
      <c r="A237" s="106">
        <v>1</v>
      </c>
      <c r="B237" s="281">
        <v>2</v>
      </c>
      <c r="C237" s="281"/>
      <c r="D237" s="281">
        <v>3</v>
      </c>
      <c r="E237" s="281"/>
      <c r="F237" s="281">
        <v>4</v>
      </c>
      <c r="G237" s="281"/>
    </row>
    <row r="238" spans="1:7" ht="18" customHeight="1" x14ac:dyDescent="0.25">
      <c r="A238" s="106"/>
      <c r="B238" s="263"/>
      <c r="C238" s="264"/>
      <c r="D238" s="263"/>
      <c r="E238" s="264"/>
      <c r="F238" s="263"/>
      <c r="G238" s="264"/>
    </row>
    <row r="239" spans="1:7" ht="18" customHeight="1" x14ac:dyDescent="0.25">
      <c r="A239" s="106" t="s">
        <v>245</v>
      </c>
      <c r="B239" s="263"/>
      <c r="C239" s="264"/>
      <c r="D239" s="263"/>
      <c r="E239" s="264"/>
      <c r="F239" s="261">
        <f>'платные на 2024-2025 год'!D79</f>
        <v>0</v>
      </c>
      <c r="G239" s="264"/>
    </row>
    <row r="240" spans="1:7" ht="18" customHeight="1" x14ac:dyDescent="0.25">
      <c r="A240" s="106"/>
      <c r="B240" s="263"/>
      <c r="C240" s="264"/>
      <c r="D240" s="263"/>
      <c r="E240" s="264"/>
      <c r="F240" s="263"/>
      <c r="G240" s="264"/>
    </row>
    <row r="241" spans="1:7" ht="18" customHeight="1" x14ac:dyDescent="0.25">
      <c r="A241" s="106" t="s">
        <v>246</v>
      </c>
      <c r="B241" s="263"/>
      <c r="C241" s="264"/>
      <c r="D241" s="263"/>
      <c r="E241" s="264"/>
      <c r="F241" s="261">
        <f>'платные на 2024-2025 год'!D80</f>
        <v>0</v>
      </c>
      <c r="G241" s="264"/>
    </row>
    <row r="242" spans="1:7" ht="18" customHeight="1" x14ac:dyDescent="0.25">
      <c r="A242" s="106"/>
      <c r="B242" s="263"/>
      <c r="C242" s="264"/>
      <c r="D242" s="263"/>
      <c r="E242" s="264"/>
      <c r="F242" s="263"/>
      <c r="G242" s="264"/>
    </row>
    <row r="243" spans="1:7" ht="18" customHeight="1" x14ac:dyDescent="0.25">
      <c r="A243" s="106" t="s">
        <v>247</v>
      </c>
      <c r="B243" s="263"/>
      <c r="C243" s="264"/>
      <c r="D243" s="263"/>
      <c r="E243" s="264"/>
      <c r="F243" s="261">
        <f>'платные на 2024-2025 год'!D81</f>
        <v>0</v>
      </c>
      <c r="G243" s="264"/>
    </row>
    <row r="244" spans="1:7" ht="18" customHeight="1" x14ac:dyDescent="0.25">
      <c r="A244" s="106"/>
      <c r="B244" s="263"/>
      <c r="C244" s="264"/>
      <c r="D244" s="263"/>
      <c r="E244" s="264"/>
      <c r="F244" s="263"/>
      <c r="G244" s="264"/>
    </row>
    <row r="245" spans="1:7" ht="18" customHeight="1" x14ac:dyDescent="0.25">
      <c r="A245" s="106" t="s">
        <v>248</v>
      </c>
      <c r="B245" s="263"/>
      <c r="C245" s="264"/>
      <c r="D245" s="263"/>
      <c r="E245" s="264"/>
      <c r="F245" s="261">
        <f>'платные на 2024-2025 год'!D88</f>
        <v>0</v>
      </c>
      <c r="G245" s="264"/>
    </row>
    <row r="246" spans="1:7" ht="18" customHeight="1" x14ac:dyDescent="0.25">
      <c r="A246" s="106"/>
      <c r="B246" s="263"/>
      <c r="C246" s="264"/>
      <c r="D246" s="263"/>
      <c r="E246" s="264"/>
      <c r="F246" s="263"/>
      <c r="G246" s="264"/>
    </row>
    <row r="247" spans="1:7" ht="18" customHeight="1" x14ac:dyDescent="0.25">
      <c r="A247" s="106" t="s">
        <v>249</v>
      </c>
      <c r="B247" s="263"/>
      <c r="C247" s="264"/>
      <c r="D247" s="263"/>
      <c r="E247" s="264"/>
      <c r="F247" s="261">
        <f>'платные на 2024-2025 год'!D93</f>
        <v>0</v>
      </c>
      <c r="G247" s="264"/>
    </row>
    <row r="248" spans="1:7" ht="18" customHeight="1" x14ac:dyDescent="0.25">
      <c r="A248" s="13"/>
      <c r="B248" s="319"/>
      <c r="C248" s="319"/>
      <c r="D248" s="319"/>
      <c r="E248" s="319"/>
      <c r="F248" s="320"/>
      <c r="G248" s="320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8" t="s">
        <v>214</v>
      </c>
      <c r="B250" s="288"/>
      <c r="C250" s="288"/>
      <c r="D250" s="288"/>
      <c r="E250" s="288"/>
      <c r="F250" s="288"/>
      <c r="G250" s="288"/>
    </row>
    <row r="251" spans="1:7" ht="41.45" customHeight="1" x14ac:dyDescent="0.25">
      <c r="A251" s="282" t="s">
        <v>215</v>
      </c>
      <c r="B251" s="282"/>
      <c r="C251" s="282"/>
      <c r="D251" s="282"/>
      <c r="E251" s="282"/>
      <c r="F251" s="282"/>
      <c r="G251" s="28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81" t="s">
        <v>160</v>
      </c>
      <c r="C255" s="281"/>
      <c r="D255" s="281" t="s">
        <v>122</v>
      </c>
      <c r="E255" s="281"/>
      <c r="F255" s="281" t="s">
        <v>161</v>
      </c>
      <c r="G255" s="281"/>
    </row>
    <row r="256" spans="1:7" ht="28.9" customHeight="1" x14ac:dyDescent="0.25">
      <c r="A256" s="106">
        <v>1</v>
      </c>
      <c r="B256" s="263">
        <v>2</v>
      </c>
      <c r="C256" s="264"/>
      <c r="D256" s="263">
        <v>3</v>
      </c>
      <c r="E256" s="264"/>
      <c r="F256" s="293">
        <v>4</v>
      </c>
      <c r="G256" s="294"/>
    </row>
    <row r="257" spans="1:7" ht="28.9" customHeight="1" x14ac:dyDescent="0.25">
      <c r="A257" s="13" t="s">
        <v>159</v>
      </c>
      <c r="B257" s="293"/>
      <c r="C257" s="294"/>
      <c r="D257" s="293"/>
      <c r="E257" s="294"/>
      <c r="F257" s="340">
        <f>'платные на 2024-2025 год'!D36</f>
        <v>0</v>
      </c>
      <c r="G257" s="341"/>
    </row>
    <row r="258" spans="1:7" ht="28.9" customHeight="1" x14ac:dyDescent="0.25">
      <c r="A258" s="13" t="s">
        <v>120</v>
      </c>
      <c r="B258" s="293"/>
      <c r="C258" s="294"/>
      <c r="D258" s="293"/>
      <c r="E258" s="294"/>
      <c r="F258" s="340"/>
      <c r="G258" s="341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80" t="s">
        <v>216</v>
      </c>
      <c r="B260" s="280"/>
      <c r="C260" s="280"/>
      <c r="D260" s="280"/>
      <c r="E260" s="280"/>
      <c r="F260" s="280"/>
      <c r="G260" s="280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81" t="s">
        <v>121</v>
      </c>
      <c r="C264" s="281"/>
      <c r="D264" s="281" t="s">
        <v>122</v>
      </c>
      <c r="E264" s="281"/>
      <c r="F264" s="281" t="s">
        <v>186</v>
      </c>
      <c r="G264" s="281"/>
    </row>
    <row r="265" spans="1:7" ht="18.75" x14ac:dyDescent="0.25">
      <c r="A265" s="106">
        <v>1</v>
      </c>
      <c r="B265" s="263">
        <v>2</v>
      </c>
      <c r="C265" s="264"/>
      <c r="D265" s="263">
        <v>3</v>
      </c>
      <c r="E265" s="264"/>
      <c r="F265" s="293">
        <v>4</v>
      </c>
      <c r="G265" s="294"/>
    </row>
    <row r="266" spans="1:7" ht="37.5" x14ac:dyDescent="0.25">
      <c r="A266" s="13" t="s">
        <v>123</v>
      </c>
      <c r="B266" s="293"/>
      <c r="C266" s="294"/>
      <c r="D266" s="293"/>
      <c r="E266" s="294"/>
      <c r="F266" s="340">
        <f>'платные на 2024-2025 год'!D39</f>
        <v>0</v>
      </c>
      <c r="G266" s="341"/>
    </row>
    <row r="267" spans="1:7" ht="18.75" x14ac:dyDescent="0.25">
      <c r="A267" s="13" t="s">
        <v>124</v>
      </c>
      <c r="B267" s="293"/>
      <c r="C267" s="294"/>
      <c r="D267" s="293"/>
      <c r="E267" s="294"/>
      <c r="F267" s="340"/>
      <c r="G267" s="341"/>
    </row>
    <row r="268" spans="1:7" ht="18.75" x14ac:dyDescent="0.25">
      <c r="A268" s="13" t="s">
        <v>120</v>
      </c>
      <c r="B268" s="293"/>
      <c r="C268" s="294"/>
      <c r="D268" s="293"/>
      <c r="E268" s="294"/>
      <c r="F268" s="340"/>
      <c r="G268" s="341"/>
    </row>
    <row r="269" spans="1:7" x14ac:dyDescent="0.25">
      <c r="A269" s="23"/>
    </row>
    <row r="270" spans="1:7" ht="18.75" x14ac:dyDescent="0.25">
      <c r="A270" s="280" t="s">
        <v>217</v>
      </c>
      <c r="B270" s="280"/>
      <c r="C270" s="280"/>
      <c r="D270" s="280"/>
      <c r="E270" s="280"/>
      <c r="F270" s="280"/>
      <c r="G270" s="280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81" t="s">
        <v>125</v>
      </c>
      <c r="C274" s="281"/>
      <c r="D274" s="281" t="s">
        <v>93</v>
      </c>
      <c r="E274" s="281"/>
      <c r="F274" s="281" t="s">
        <v>186</v>
      </c>
      <c r="G274" s="281"/>
    </row>
    <row r="275" spans="1:7" ht="18.75" x14ac:dyDescent="0.25">
      <c r="A275" s="106">
        <v>1</v>
      </c>
      <c r="B275" s="263">
        <v>2</v>
      </c>
      <c r="C275" s="264"/>
      <c r="D275" s="263">
        <v>3</v>
      </c>
      <c r="E275" s="264"/>
      <c r="F275" s="263">
        <v>4</v>
      </c>
      <c r="G275" s="264"/>
    </row>
    <row r="276" spans="1:7" ht="18.75" x14ac:dyDescent="0.25">
      <c r="A276" s="13"/>
      <c r="B276" s="263"/>
      <c r="C276" s="264"/>
      <c r="D276" s="263"/>
      <c r="E276" s="264"/>
      <c r="F276" s="261">
        <f>'платные на 2024-2025 год'!D42</f>
        <v>0</v>
      </c>
      <c r="G276" s="262"/>
    </row>
    <row r="277" spans="1:7" ht="18.75" x14ac:dyDescent="0.25">
      <c r="A277" s="13" t="s">
        <v>120</v>
      </c>
      <c r="B277" s="263"/>
      <c r="C277" s="264"/>
      <c r="D277" s="263"/>
      <c r="E277" s="264"/>
      <c r="F277" s="261"/>
      <c r="G277" s="262"/>
    </row>
    <row r="278" spans="1:7" ht="18.75" x14ac:dyDescent="0.25">
      <c r="A278" s="8"/>
    </row>
    <row r="279" spans="1:7" ht="18.75" x14ac:dyDescent="0.25">
      <c r="A279" s="280" t="s">
        <v>218</v>
      </c>
      <c r="B279" s="280"/>
      <c r="C279" s="280"/>
      <c r="D279" s="280"/>
      <c r="E279" s="280"/>
      <c r="F279" s="280"/>
      <c r="G279" s="280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81" t="s">
        <v>126</v>
      </c>
      <c r="C283" s="281"/>
      <c r="D283" s="281" t="s">
        <v>127</v>
      </c>
      <c r="E283" s="281"/>
      <c r="F283" s="281" t="s">
        <v>94</v>
      </c>
      <c r="G283" s="281"/>
    </row>
    <row r="284" spans="1:7" ht="18.75" x14ac:dyDescent="0.25">
      <c r="A284" s="106">
        <v>1</v>
      </c>
      <c r="B284" s="263">
        <v>2</v>
      </c>
      <c r="C284" s="264"/>
      <c r="D284" s="263">
        <v>3</v>
      </c>
      <c r="E284" s="264"/>
      <c r="F284" s="263">
        <v>4</v>
      </c>
      <c r="G284" s="264"/>
    </row>
    <row r="285" spans="1:7" ht="75" x14ac:dyDescent="0.25">
      <c r="A285" s="13" t="s">
        <v>18</v>
      </c>
      <c r="B285" s="263"/>
      <c r="C285" s="264"/>
      <c r="D285" s="263"/>
      <c r="E285" s="264"/>
      <c r="F285" s="261">
        <f>'платные на 2024-2025 год'!D45</f>
        <v>0</v>
      </c>
      <c r="G285" s="262"/>
    </row>
    <row r="286" spans="1:7" ht="37.5" x14ac:dyDescent="0.25">
      <c r="A286" s="13" t="s">
        <v>19</v>
      </c>
      <c r="B286" s="263"/>
      <c r="C286" s="264"/>
      <c r="D286" s="263"/>
      <c r="E286" s="264"/>
      <c r="F286" s="261">
        <f>'платные на 2024-2025 год'!D46</f>
        <v>0</v>
      </c>
      <c r="G286" s="262"/>
    </row>
    <row r="287" spans="1:7" ht="75" x14ac:dyDescent="0.25">
      <c r="A287" s="13" t="s">
        <v>20</v>
      </c>
      <c r="B287" s="263"/>
      <c r="C287" s="264"/>
      <c r="D287" s="263"/>
      <c r="E287" s="264"/>
      <c r="F287" s="261">
        <f>'платные на 2024-2025 год'!D47</f>
        <v>0</v>
      </c>
      <c r="G287" s="262"/>
    </row>
    <row r="288" spans="1:7" ht="75" x14ac:dyDescent="0.25">
      <c r="A288" s="13" t="s">
        <v>21</v>
      </c>
      <c r="B288" s="263"/>
      <c r="C288" s="264"/>
      <c r="D288" s="263"/>
      <c r="E288" s="264"/>
      <c r="F288" s="261">
        <f>'платные на 2024-2025 год'!D48</f>
        <v>0</v>
      </c>
      <c r="G288" s="262"/>
    </row>
    <row r="289" spans="1:7" ht="56.25" x14ac:dyDescent="0.25">
      <c r="A289" s="24" t="s">
        <v>22</v>
      </c>
      <c r="B289" s="263"/>
      <c r="C289" s="264"/>
      <c r="D289" s="263"/>
      <c r="E289" s="264"/>
      <c r="F289" s="261">
        <f>'платные на 2024-2025 год'!D49</f>
        <v>0</v>
      </c>
      <c r="G289" s="262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5" t="s">
        <v>219</v>
      </c>
      <c r="B291" s="345"/>
      <c r="C291" s="345"/>
      <c r="D291" s="345"/>
      <c r="E291" s="345"/>
      <c r="F291" s="345"/>
      <c r="G291" s="345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81" t="s">
        <v>128</v>
      </c>
      <c r="C295" s="281"/>
      <c r="D295" s="281" t="s">
        <v>148</v>
      </c>
      <c r="E295" s="281"/>
      <c r="F295" s="281" t="s">
        <v>129</v>
      </c>
      <c r="G295" s="281"/>
    </row>
    <row r="296" spans="1:7" ht="18.75" x14ac:dyDescent="0.25">
      <c r="A296" s="106">
        <v>1</v>
      </c>
      <c r="B296" s="263">
        <v>2</v>
      </c>
      <c r="C296" s="264"/>
      <c r="D296" s="263">
        <v>3</v>
      </c>
      <c r="E296" s="264"/>
      <c r="F296" s="263">
        <v>4</v>
      </c>
      <c r="G296" s="264"/>
    </row>
    <row r="297" spans="1:7" ht="37.5" x14ac:dyDescent="0.25">
      <c r="A297" s="13" t="s">
        <v>130</v>
      </c>
      <c r="B297" s="263"/>
      <c r="C297" s="264"/>
      <c r="D297" s="263"/>
      <c r="E297" s="264"/>
      <c r="F297" s="261">
        <f>'платные на 2024-2025 год'!D50</f>
        <v>0</v>
      </c>
      <c r="G297" s="262"/>
    </row>
    <row r="298" spans="1:7" ht="18.75" x14ac:dyDescent="0.25">
      <c r="A298" s="13" t="s">
        <v>118</v>
      </c>
      <c r="B298" s="263"/>
      <c r="C298" s="264"/>
      <c r="D298" s="263"/>
      <c r="E298" s="264"/>
      <c r="F298" s="261"/>
      <c r="G298" s="262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82" t="s">
        <v>220</v>
      </c>
      <c r="B300" s="282"/>
      <c r="C300" s="282"/>
      <c r="D300" s="282"/>
      <c r="E300" s="282"/>
      <c r="F300" s="282"/>
      <c r="G300" s="28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81" t="s">
        <v>86</v>
      </c>
      <c r="B304" s="281"/>
      <c r="C304" s="281"/>
      <c r="D304" s="281" t="s">
        <v>131</v>
      </c>
      <c r="E304" s="281"/>
      <c r="F304" s="281" t="s">
        <v>132</v>
      </c>
      <c r="G304" s="281"/>
    </row>
    <row r="305" spans="1:7" ht="18.75" x14ac:dyDescent="0.3">
      <c r="A305" s="281">
        <v>1</v>
      </c>
      <c r="B305" s="281"/>
      <c r="C305" s="281"/>
      <c r="D305" s="254">
        <v>2</v>
      </c>
      <c r="E305" s="255"/>
      <c r="F305" s="254">
        <v>3</v>
      </c>
      <c r="G305" s="255"/>
    </row>
    <row r="306" spans="1:7" ht="43.15" customHeight="1" x14ac:dyDescent="0.25">
      <c r="A306" s="253" t="s">
        <v>163</v>
      </c>
      <c r="B306" s="253"/>
      <c r="C306" s="253"/>
      <c r="D306" s="289"/>
      <c r="E306" s="290"/>
      <c r="F306" s="305">
        <f>'платные на 2024-2025 год'!D52</f>
        <v>0</v>
      </c>
      <c r="G306" s="306"/>
    </row>
    <row r="307" spans="1:7" ht="18.75" x14ac:dyDescent="0.25">
      <c r="A307" s="258" t="s">
        <v>120</v>
      </c>
      <c r="B307" s="259"/>
      <c r="C307" s="260"/>
      <c r="D307" s="289"/>
      <c r="E307" s="290"/>
      <c r="F307" s="342"/>
      <c r="G307" s="344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81" t="s">
        <v>86</v>
      </c>
      <c r="B311" s="281"/>
      <c r="C311" s="281"/>
      <c r="D311" s="281" t="s">
        <v>131</v>
      </c>
      <c r="E311" s="281"/>
      <c r="F311" s="281" t="s">
        <v>132</v>
      </c>
      <c r="G311" s="281"/>
    </row>
    <row r="312" spans="1:7" ht="18.75" x14ac:dyDescent="0.3">
      <c r="A312" s="281">
        <v>1</v>
      </c>
      <c r="B312" s="281"/>
      <c r="C312" s="281"/>
      <c r="D312" s="254">
        <v>2</v>
      </c>
      <c r="E312" s="255"/>
      <c r="F312" s="254">
        <v>3</v>
      </c>
      <c r="G312" s="255"/>
    </row>
    <row r="313" spans="1:7" ht="34.15" customHeight="1" x14ac:dyDescent="0.25">
      <c r="A313" s="253" t="s">
        <v>133</v>
      </c>
      <c r="B313" s="253"/>
      <c r="C313" s="253"/>
      <c r="D313" s="289"/>
      <c r="E313" s="290"/>
      <c r="F313" s="305">
        <f>'платные на 2024-2025 год'!D53</f>
        <v>0</v>
      </c>
      <c r="G313" s="306"/>
    </row>
    <row r="314" spans="1:7" ht="34.15" customHeight="1" x14ac:dyDescent="0.25">
      <c r="A314" s="253" t="s">
        <v>134</v>
      </c>
      <c r="B314" s="253"/>
      <c r="C314" s="253"/>
      <c r="D314" s="289"/>
      <c r="E314" s="290"/>
      <c r="F314" s="342"/>
      <c r="G314" s="344"/>
    </row>
    <row r="315" spans="1:7" ht="34.15" customHeight="1" x14ac:dyDescent="0.25">
      <c r="A315" s="253" t="s">
        <v>135</v>
      </c>
      <c r="B315" s="253"/>
      <c r="C315" s="253"/>
      <c r="D315" s="289"/>
      <c r="E315" s="290"/>
      <c r="F315" s="342"/>
      <c r="G315" s="344"/>
    </row>
    <row r="316" spans="1:7" ht="34.15" customHeight="1" x14ac:dyDescent="0.25">
      <c r="A316" s="253" t="s">
        <v>136</v>
      </c>
      <c r="B316" s="253"/>
      <c r="C316" s="253"/>
      <c r="D316" s="289"/>
      <c r="E316" s="290"/>
      <c r="F316" s="342"/>
      <c r="G316" s="344"/>
    </row>
    <row r="317" spans="1:7" ht="18.75" x14ac:dyDescent="0.25">
      <c r="A317" s="258" t="s">
        <v>120</v>
      </c>
      <c r="B317" s="259"/>
      <c r="C317" s="260"/>
      <c r="D317" s="289"/>
      <c r="E317" s="290"/>
      <c r="F317" s="342"/>
      <c r="G317" s="344"/>
    </row>
    <row r="318" spans="1:7" ht="18.75" x14ac:dyDescent="0.25">
      <c r="A318" s="29"/>
    </row>
    <row r="319" spans="1:7" ht="18.75" x14ac:dyDescent="0.25">
      <c r="A319" s="280" t="s">
        <v>221</v>
      </c>
      <c r="B319" s="280"/>
      <c r="C319" s="280"/>
      <c r="D319" s="280"/>
      <c r="E319" s="280"/>
      <c r="F319" s="280"/>
      <c r="G319" s="280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81" t="s">
        <v>86</v>
      </c>
      <c r="B323" s="281"/>
      <c r="C323" s="281"/>
      <c r="D323" s="281" t="s">
        <v>137</v>
      </c>
      <c r="E323" s="281"/>
      <c r="F323" s="281" t="s">
        <v>138</v>
      </c>
      <c r="G323" s="281"/>
    </row>
    <row r="324" spans="1:7" ht="18.75" x14ac:dyDescent="0.3">
      <c r="A324" s="263">
        <v>1</v>
      </c>
      <c r="B324" s="292"/>
      <c r="C324" s="264"/>
      <c r="D324" s="254">
        <v>2</v>
      </c>
      <c r="E324" s="255"/>
      <c r="F324" s="254">
        <v>3</v>
      </c>
      <c r="G324" s="255"/>
    </row>
    <row r="325" spans="1:7" ht="38.450000000000003" customHeight="1" x14ac:dyDescent="0.25">
      <c r="A325" s="258" t="s">
        <v>162</v>
      </c>
      <c r="B325" s="259"/>
      <c r="C325" s="260"/>
      <c r="D325" s="289"/>
      <c r="E325" s="290"/>
      <c r="F325" s="305">
        <f>'платные на 2024-2025 год'!D58</f>
        <v>0</v>
      </c>
      <c r="G325" s="306"/>
    </row>
    <row r="326" spans="1:7" ht="18.75" x14ac:dyDescent="0.25">
      <c r="A326" s="258" t="s">
        <v>120</v>
      </c>
      <c r="B326" s="259"/>
      <c r="C326" s="260"/>
      <c r="D326" s="289"/>
      <c r="E326" s="290"/>
      <c r="F326" s="342"/>
      <c r="G326" s="344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81" t="s">
        <v>86</v>
      </c>
      <c r="B330" s="281"/>
      <c r="C330" s="281"/>
      <c r="D330" s="281" t="s">
        <v>137</v>
      </c>
      <c r="E330" s="281"/>
      <c r="F330" s="281" t="s">
        <v>138</v>
      </c>
      <c r="G330" s="281"/>
    </row>
    <row r="331" spans="1:7" ht="18.75" x14ac:dyDescent="0.3">
      <c r="A331" s="263">
        <v>1</v>
      </c>
      <c r="B331" s="292"/>
      <c r="C331" s="264"/>
      <c r="D331" s="254">
        <v>2</v>
      </c>
      <c r="E331" s="255"/>
      <c r="F331" s="254">
        <v>3</v>
      </c>
      <c r="G331" s="255"/>
    </row>
    <row r="332" spans="1:7" ht="18.75" x14ac:dyDescent="0.25">
      <c r="A332" s="258" t="s">
        <v>139</v>
      </c>
      <c r="B332" s="259"/>
      <c r="C332" s="260"/>
      <c r="D332" s="289"/>
      <c r="E332" s="290"/>
      <c r="F332" s="305">
        <f>'платные на 2024-2025 год'!D59</f>
        <v>0</v>
      </c>
      <c r="G332" s="306"/>
    </row>
    <row r="333" spans="1:7" ht="18.75" x14ac:dyDescent="0.25">
      <c r="A333" s="258" t="s">
        <v>140</v>
      </c>
      <c r="B333" s="259"/>
      <c r="C333" s="260"/>
      <c r="D333" s="289"/>
      <c r="E333" s="290"/>
      <c r="F333" s="305"/>
      <c r="G333" s="306"/>
    </row>
    <row r="334" spans="1:7" ht="18.75" x14ac:dyDescent="0.25">
      <c r="A334" s="258" t="s">
        <v>141</v>
      </c>
      <c r="B334" s="259"/>
      <c r="C334" s="260"/>
      <c r="D334" s="289"/>
      <c r="E334" s="290"/>
      <c r="F334" s="342"/>
      <c r="G334" s="344"/>
    </row>
    <row r="335" spans="1:7" ht="18.75" x14ac:dyDescent="0.25">
      <c r="A335" s="258" t="s">
        <v>120</v>
      </c>
      <c r="B335" s="259"/>
      <c r="C335" s="260"/>
      <c r="D335" s="289"/>
      <c r="E335" s="290"/>
      <c r="F335" s="342"/>
      <c r="G335" s="344"/>
    </row>
    <row r="336" spans="1:7" ht="18.75" x14ac:dyDescent="0.25">
      <c r="A336" s="8"/>
    </row>
    <row r="337" spans="1:7" ht="18.75" x14ac:dyDescent="0.25">
      <c r="A337" s="280" t="s">
        <v>222</v>
      </c>
      <c r="B337" s="280"/>
      <c r="C337" s="280"/>
      <c r="D337" s="280"/>
      <c r="E337" s="280"/>
      <c r="F337" s="280"/>
      <c r="G337" s="280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3" t="s">
        <v>86</v>
      </c>
      <c r="B341" s="264"/>
      <c r="C341" s="263" t="s">
        <v>137</v>
      </c>
      <c r="D341" s="264"/>
      <c r="E341" s="263" t="s">
        <v>138</v>
      </c>
      <c r="F341" s="292"/>
      <c r="G341" s="264"/>
    </row>
    <row r="342" spans="1:7" ht="18.75" x14ac:dyDescent="0.3">
      <c r="A342" s="263">
        <v>1</v>
      </c>
      <c r="B342" s="264"/>
      <c r="C342" s="263">
        <v>2</v>
      </c>
      <c r="D342" s="264"/>
      <c r="E342" s="254">
        <v>3</v>
      </c>
      <c r="F342" s="291"/>
      <c r="G342" s="255"/>
    </row>
    <row r="343" spans="1:7" ht="18.75" x14ac:dyDescent="0.25">
      <c r="A343" s="258" t="s">
        <v>25</v>
      </c>
      <c r="B343" s="260"/>
      <c r="C343" s="263"/>
      <c r="D343" s="264"/>
      <c r="E343" s="342">
        <f>'платные на 2024-2025 год'!D61</f>
        <v>0</v>
      </c>
      <c r="F343" s="343"/>
      <c r="G343" s="344"/>
    </row>
    <row r="344" spans="1:7" ht="18.75" x14ac:dyDescent="0.25">
      <c r="A344" s="258" t="s">
        <v>120</v>
      </c>
      <c r="B344" s="260"/>
      <c r="C344" s="263"/>
      <c r="D344" s="264"/>
      <c r="E344" s="342"/>
      <c r="F344" s="343"/>
      <c r="G344" s="344"/>
    </row>
    <row r="345" spans="1:7" x14ac:dyDescent="0.25">
      <c r="A345" s="23"/>
    </row>
    <row r="346" spans="1:7" ht="43.15" customHeight="1" x14ac:dyDescent="0.25">
      <c r="A346" s="288" t="s">
        <v>223</v>
      </c>
      <c r="B346" s="288"/>
      <c r="C346" s="288"/>
      <c r="D346" s="288"/>
      <c r="E346" s="288"/>
      <c r="F346" s="288"/>
      <c r="G346" s="288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81" t="s">
        <v>142</v>
      </c>
      <c r="C350" s="281"/>
      <c r="D350" s="281" t="s">
        <v>143</v>
      </c>
      <c r="E350" s="281"/>
      <c r="F350" s="281" t="s">
        <v>149</v>
      </c>
      <c r="G350" s="281"/>
    </row>
    <row r="351" spans="1:7" ht="18.75" x14ac:dyDescent="0.25">
      <c r="A351" s="106">
        <v>1</v>
      </c>
      <c r="B351" s="263">
        <v>2</v>
      </c>
      <c r="C351" s="264"/>
      <c r="D351" s="263">
        <v>3</v>
      </c>
      <c r="E351" s="264"/>
      <c r="F351" s="263">
        <v>4</v>
      </c>
      <c r="G351" s="264"/>
    </row>
    <row r="352" spans="1:7" ht="18.75" x14ac:dyDescent="0.25">
      <c r="A352" s="106"/>
      <c r="B352" s="263"/>
      <c r="C352" s="264"/>
      <c r="D352" s="263"/>
      <c r="E352" s="264"/>
      <c r="F352" s="261"/>
      <c r="G352" s="262"/>
    </row>
    <row r="353" spans="1:7" ht="18.75" x14ac:dyDescent="0.25">
      <c r="A353" s="112" t="s">
        <v>248</v>
      </c>
      <c r="B353" s="263"/>
      <c r="C353" s="264"/>
      <c r="D353" s="263"/>
      <c r="E353" s="264"/>
      <c r="F353" s="261">
        <f>'платные на 2024-2025 год'!D83</f>
        <v>0</v>
      </c>
      <c r="G353" s="262"/>
    </row>
    <row r="354" spans="1:7" ht="18.75" x14ac:dyDescent="0.25">
      <c r="A354" s="112"/>
      <c r="B354" s="263"/>
      <c r="C354" s="264"/>
      <c r="D354" s="263"/>
      <c r="E354" s="264"/>
      <c r="F354" s="261"/>
      <c r="G354" s="262"/>
    </row>
    <row r="355" spans="1:7" ht="18.75" x14ac:dyDescent="0.25">
      <c r="A355" s="13" t="s">
        <v>249</v>
      </c>
      <c r="B355" s="263"/>
      <c r="C355" s="264"/>
      <c r="D355" s="263"/>
      <c r="E355" s="264"/>
      <c r="F355" s="261">
        <f>'платные на 2024-2025 год'!D90</f>
        <v>0</v>
      </c>
      <c r="G355" s="262"/>
    </row>
    <row r="356" spans="1:7" ht="18.75" x14ac:dyDescent="0.25">
      <c r="A356" s="8"/>
    </row>
    <row r="357" spans="1:7" ht="18.75" x14ac:dyDescent="0.25">
      <c r="A357" s="280" t="s">
        <v>224</v>
      </c>
      <c r="B357" s="280"/>
      <c r="C357" s="280"/>
      <c r="D357" s="280"/>
      <c r="E357" s="280"/>
      <c r="F357" s="280"/>
      <c r="G357" s="280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81" t="s">
        <v>142</v>
      </c>
      <c r="C361" s="281"/>
      <c r="D361" s="281" t="s">
        <v>143</v>
      </c>
      <c r="E361" s="281"/>
      <c r="F361" s="281" t="s">
        <v>150</v>
      </c>
      <c r="G361" s="281"/>
    </row>
    <row r="362" spans="1:7" ht="18.75" x14ac:dyDescent="0.25">
      <c r="A362" s="106">
        <v>1</v>
      </c>
      <c r="B362" s="263">
        <v>2</v>
      </c>
      <c r="C362" s="264"/>
      <c r="D362" s="263">
        <v>3</v>
      </c>
      <c r="E362" s="264"/>
      <c r="F362" s="263">
        <v>4</v>
      </c>
      <c r="G362" s="264"/>
    </row>
    <row r="363" spans="1:7" ht="56.25" x14ac:dyDescent="0.25">
      <c r="A363" s="13" t="s">
        <v>144</v>
      </c>
      <c r="B363" s="263"/>
      <c r="C363" s="264"/>
      <c r="D363" s="263"/>
      <c r="E363" s="264"/>
      <c r="F363" s="261">
        <f>'платные на 2024-2025 год'!D96</f>
        <v>0</v>
      </c>
      <c r="G363" s="262"/>
    </row>
    <row r="364" spans="1:7" ht="18.75" x14ac:dyDescent="0.25">
      <c r="A364" s="13" t="s">
        <v>120</v>
      </c>
      <c r="B364" s="263"/>
      <c r="C364" s="264"/>
      <c r="D364" s="263"/>
      <c r="E364" s="264"/>
      <c r="F364" s="261"/>
      <c r="G364" s="262"/>
    </row>
    <row r="365" spans="1:7" ht="18.75" x14ac:dyDescent="0.25">
      <c r="A365" s="8"/>
    </row>
    <row r="366" spans="1:7" ht="28.15" customHeight="1" x14ac:dyDescent="0.25">
      <c r="A366" s="280" t="s">
        <v>250</v>
      </c>
      <c r="B366" s="280"/>
      <c r="C366" s="280"/>
      <c r="D366" s="280"/>
      <c r="E366" s="280"/>
      <c r="F366" s="280"/>
      <c r="G366" s="280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81" t="s">
        <v>142</v>
      </c>
      <c r="C370" s="281"/>
      <c r="D370" s="281" t="s">
        <v>143</v>
      </c>
      <c r="E370" s="281"/>
      <c r="F370" s="281" t="s">
        <v>150</v>
      </c>
      <c r="G370" s="281"/>
    </row>
    <row r="371" spans="1:7" ht="18.75" x14ac:dyDescent="0.25">
      <c r="A371" s="106">
        <v>1</v>
      </c>
      <c r="B371" s="263">
        <v>2</v>
      </c>
      <c r="C371" s="264"/>
      <c r="D371" s="263">
        <v>3</v>
      </c>
      <c r="E371" s="264"/>
      <c r="F371" s="263">
        <v>4</v>
      </c>
      <c r="G371" s="264"/>
    </row>
    <row r="372" spans="1:7" ht="18.75" x14ac:dyDescent="0.25">
      <c r="A372" s="13"/>
      <c r="B372" s="263"/>
      <c r="C372" s="264"/>
      <c r="D372" s="263"/>
      <c r="E372" s="264"/>
      <c r="F372" s="261">
        <f>'платные на 2024-2025 год'!D97</f>
        <v>0</v>
      </c>
      <c r="G372" s="262"/>
    </row>
    <row r="373" spans="1:7" ht="18.75" x14ac:dyDescent="0.25">
      <c r="A373" s="13" t="s">
        <v>120</v>
      </c>
      <c r="B373" s="263"/>
      <c r="C373" s="264"/>
      <c r="D373" s="263"/>
      <c r="E373" s="264"/>
      <c r="F373" s="261"/>
      <c r="G373" s="262"/>
    </row>
    <row r="374" spans="1:7" ht="18.75" x14ac:dyDescent="0.25">
      <c r="A374" s="8"/>
    </row>
    <row r="375" spans="1:7" ht="31.9" customHeight="1" x14ac:dyDescent="0.25">
      <c r="A375" s="288" t="s">
        <v>251</v>
      </c>
      <c r="B375" s="288"/>
      <c r="C375" s="288"/>
      <c r="D375" s="288"/>
      <c r="E375" s="288"/>
      <c r="F375" s="288"/>
      <c r="G375" s="288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81" t="s">
        <v>142</v>
      </c>
      <c r="C379" s="281"/>
      <c r="D379" s="281" t="s">
        <v>143</v>
      </c>
      <c r="E379" s="281"/>
      <c r="F379" s="281" t="s">
        <v>150</v>
      </c>
      <c r="G379" s="281"/>
    </row>
    <row r="380" spans="1:7" ht="18.75" x14ac:dyDescent="0.25">
      <c r="A380" s="106">
        <v>1</v>
      </c>
      <c r="B380" s="263">
        <v>2</v>
      </c>
      <c r="C380" s="264"/>
      <c r="D380" s="263">
        <v>3</v>
      </c>
      <c r="E380" s="264"/>
      <c r="F380" s="263">
        <v>4</v>
      </c>
      <c r="G380" s="264"/>
    </row>
    <row r="381" spans="1:7" ht="18.75" x14ac:dyDescent="0.25">
      <c r="A381" s="13"/>
      <c r="B381" s="293"/>
      <c r="C381" s="294"/>
      <c r="D381" s="293"/>
      <c r="E381" s="294"/>
      <c r="F381" s="340"/>
      <c r="G381" s="341"/>
    </row>
    <row r="382" spans="1:7" ht="18.75" x14ac:dyDescent="0.25">
      <c r="A382" s="13" t="s">
        <v>237</v>
      </c>
      <c r="B382" s="293"/>
      <c r="C382" s="294"/>
      <c r="D382" s="293"/>
      <c r="E382" s="294"/>
      <c r="F382" s="340">
        <f>'платные на 2024-2025 год'!D100</f>
        <v>0</v>
      </c>
      <c r="G382" s="341"/>
    </row>
    <row r="383" spans="1:7" ht="18.75" x14ac:dyDescent="0.25">
      <c r="A383" s="13"/>
      <c r="B383" s="293"/>
      <c r="C383" s="294"/>
      <c r="D383" s="293"/>
      <c r="E383" s="294"/>
      <c r="F383" s="340"/>
      <c r="G383" s="341"/>
    </row>
    <row r="384" spans="1:7" ht="18.75" x14ac:dyDescent="0.25">
      <c r="A384" s="13" t="s">
        <v>238</v>
      </c>
      <c r="B384" s="293"/>
      <c r="C384" s="294"/>
      <c r="D384" s="293"/>
      <c r="E384" s="294"/>
      <c r="F384" s="340">
        <f>'платные на 2024-2025 год'!D101</f>
        <v>0</v>
      </c>
      <c r="G384" s="341"/>
    </row>
    <row r="385" spans="1:7" ht="18.75" x14ac:dyDescent="0.25">
      <c r="A385" s="13"/>
      <c r="B385" s="293"/>
      <c r="C385" s="294"/>
      <c r="D385" s="293"/>
      <c r="E385" s="294"/>
      <c r="F385" s="340"/>
      <c r="G385" s="341"/>
    </row>
    <row r="386" spans="1:7" ht="18.75" x14ac:dyDescent="0.25">
      <c r="A386" s="13" t="s">
        <v>239</v>
      </c>
      <c r="B386" s="293"/>
      <c r="C386" s="294"/>
      <c r="D386" s="293"/>
      <c r="E386" s="294"/>
      <c r="F386" s="340">
        <f>'платные на 2024-2025 год'!D102</f>
        <v>0</v>
      </c>
      <c r="G386" s="341"/>
    </row>
    <row r="387" spans="1:7" ht="18.75" x14ac:dyDescent="0.25">
      <c r="A387" s="13"/>
      <c r="B387" s="293"/>
      <c r="C387" s="294"/>
      <c r="D387" s="293"/>
      <c r="E387" s="294"/>
      <c r="F387" s="340"/>
      <c r="G387" s="341"/>
    </row>
    <row r="388" spans="1:7" ht="18.75" x14ac:dyDescent="0.25">
      <c r="A388" s="13" t="s">
        <v>240</v>
      </c>
      <c r="B388" s="293"/>
      <c r="C388" s="294"/>
      <c r="D388" s="293"/>
      <c r="E388" s="294"/>
      <c r="F388" s="340">
        <f>'платные на 2024-2025 год'!D103</f>
        <v>0</v>
      </c>
      <c r="G388" s="341"/>
    </row>
    <row r="389" spans="1:7" ht="18.75" x14ac:dyDescent="0.25">
      <c r="A389" s="13"/>
      <c r="B389" s="293"/>
      <c r="C389" s="294"/>
      <c r="D389" s="293"/>
      <c r="E389" s="294"/>
      <c r="F389" s="340"/>
      <c r="G389" s="341"/>
    </row>
    <row r="390" spans="1:7" ht="18.75" x14ac:dyDescent="0.25">
      <c r="A390" s="13" t="s">
        <v>241</v>
      </c>
      <c r="B390" s="293"/>
      <c r="C390" s="294"/>
      <c r="D390" s="293"/>
      <c r="E390" s="294"/>
      <c r="F390" s="340">
        <f>'платные на 2024-2025 год'!D104</f>
        <v>0</v>
      </c>
      <c r="G390" s="341"/>
    </row>
    <row r="391" spans="1:7" ht="18.75" x14ac:dyDescent="0.25">
      <c r="A391" s="13"/>
      <c r="B391" s="293"/>
      <c r="C391" s="294"/>
      <c r="D391" s="293"/>
      <c r="E391" s="294"/>
      <c r="F391" s="340"/>
      <c r="G391" s="341"/>
    </row>
    <row r="392" spans="1:7" ht="18.75" x14ac:dyDescent="0.25">
      <c r="A392" s="13" t="s">
        <v>242</v>
      </c>
      <c r="B392" s="293"/>
      <c r="C392" s="294"/>
      <c r="D392" s="293"/>
      <c r="E392" s="294"/>
      <c r="F392" s="340">
        <f>'платные на 2024-2025 год'!D105</f>
        <v>0</v>
      </c>
      <c r="G392" s="341"/>
    </row>
    <row r="393" spans="1:7" ht="18.75" x14ac:dyDescent="0.25">
      <c r="A393" s="13"/>
      <c r="B393" s="293"/>
      <c r="C393" s="294"/>
      <c r="D393" s="293"/>
      <c r="E393" s="294"/>
      <c r="F393" s="340"/>
      <c r="G393" s="341"/>
    </row>
    <row r="394" spans="1:7" ht="18.75" x14ac:dyDescent="0.25">
      <c r="A394" s="13" t="s">
        <v>243</v>
      </c>
      <c r="B394" s="293"/>
      <c r="C394" s="294"/>
      <c r="D394" s="293"/>
      <c r="E394" s="294"/>
      <c r="F394" s="340">
        <f>'платные на 2024-2025 год'!D107</f>
        <v>0</v>
      </c>
      <c r="G394" s="341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7"/>
      <c r="D397" s="227"/>
      <c r="E397" s="10"/>
      <c r="F397" s="227"/>
      <c r="G397" s="227"/>
    </row>
    <row r="398" spans="1:7" ht="18.75" x14ac:dyDescent="0.3">
      <c r="A398" s="29"/>
      <c r="B398" s="10"/>
      <c r="C398" s="226" t="s">
        <v>53</v>
      </c>
      <c r="D398" s="226"/>
      <c r="E398" s="10"/>
      <c r="F398" s="226" t="s">
        <v>54</v>
      </c>
      <c r="G398" s="226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7"/>
      <c r="D400" s="227"/>
      <c r="E400" s="10"/>
      <c r="F400" s="227"/>
      <c r="G400" s="227"/>
    </row>
    <row r="401" spans="1:7" ht="18.75" x14ac:dyDescent="0.3">
      <c r="A401" s="29"/>
      <c r="B401" s="10"/>
      <c r="C401" s="226" t="s">
        <v>53</v>
      </c>
      <c r="D401" s="226"/>
      <c r="E401" s="10"/>
      <c r="F401" s="226" t="s">
        <v>54</v>
      </c>
      <c r="G401" s="226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7"/>
      <c r="D403" s="227"/>
      <c r="E403" s="10"/>
      <c r="F403" s="227"/>
      <c r="G403" s="227"/>
    </row>
    <row r="404" spans="1:7" ht="18.75" x14ac:dyDescent="0.3">
      <c r="A404" s="29"/>
      <c r="B404" s="10"/>
      <c r="C404" s="226" t="s">
        <v>53</v>
      </c>
      <c r="D404" s="226"/>
      <c r="E404" s="10"/>
      <c r="F404" s="226" t="s">
        <v>54</v>
      </c>
      <c r="G404" s="226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5" t="s">
        <v>44</v>
      </c>
      <c r="B406" s="225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23"/>
      <c r="F1" s="323"/>
      <c r="G1" s="323"/>
    </row>
    <row r="2" spans="1:11" ht="40.15" customHeight="1" x14ac:dyDescent="0.25">
      <c r="A2" s="295" t="s">
        <v>257</v>
      </c>
      <c r="B2" s="295"/>
      <c r="C2" s="295"/>
      <c r="D2" s="295"/>
      <c r="E2" s="295"/>
      <c r="F2" s="295"/>
      <c r="G2" s="29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95" t="s">
        <v>181</v>
      </c>
      <c r="B4" s="295"/>
      <c r="C4" s="295"/>
      <c r="D4" s="295"/>
      <c r="E4" s="295"/>
      <c r="F4" s="295"/>
      <c r="G4" s="295"/>
    </row>
    <row r="5" spans="1:11" ht="35.450000000000003" customHeight="1" x14ac:dyDescent="0.25">
      <c r="A5" s="295" t="s">
        <v>168</v>
      </c>
      <c r="B5" s="295"/>
      <c r="C5" s="295"/>
      <c r="D5" s="295"/>
      <c r="E5" s="295"/>
      <c r="F5" s="295"/>
      <c r="G5" s="295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81" t="s">
        <v>166</v>
      </c>
      <c r="C9" s="281"/>
      <c r="D9" s="281" t="s">
        <v>167</v>
      </c>
      <c r="E9" s="281"/>
      <c r="F9" s="281" t="s">
        <v>94</v>
      </c>
      <c r="G9" s="281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81">
        <v>2</v>
      </c>
      <c r="C10" s="281"/>
      <c r="D10" s="281">
        <v>3</v>
      </c>
      <c r="E10" s="281"/>
      <c r="F10" s="281">
        <v>4</v>
      </c>
      <c r="G10" s="281"/>
      <c r="H10" s="50"/>
      <c r="I10" s="50"/>
      <c r="J10" s="50"/>
      <c r="K10" s="50"/>
    </row>
    <row r="11" spans="1:11" ht="37.5" x14ac:dyDescent="0.25">
      <c r="A11" s="13" t="s">
        <v>169</v>
      </c>
      <c r="B11" s="281"/>
      <c r="C11" s="281"/>
      <c r="D11" s="281"/>
      <c r="E11" s="281"/>
      <c r="F11" s="287">
        <f>'платные на 2023 год '!G12</f>
        <v>0</v>
      </c>
      <c r="G11" s="287"/>
    </row>
    <row r="12" spans="1:11" ht="18.75" x14ac:dyDescent="0.25">
      <c r="A12" s="13" t="s">
        <v>120</v>
      </c>
      <c r="B12" s="281"/>
      <c r="C12" s="281"/>
      <c r="D12" s="281"/>
      <c r="E12" s="281"/>
      <c r="F12" s="281"/>
      <c r="G12" s="281"/>
    </row>
    <row r="13" spans="1:11" ht="18.75" x14ac:dyDescent="0.25">
      <c r="A13" s="105"/>
    </row>
    <row r="14" spans="1:11" ht="43.9" customHeight="1" x14ac:dyDescent="0.25">
      <c r="A14" s="295" t="s">
        <v>174</v>
      </c>
      <c r="B14" s="295"/>
      <c r="C14" s="295"/>
      <c r="D14" s="295"/>
      <c r="E14" s="295"/>
      <c r="F14" s="295"/>
      <c r="G14" s="295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81" t="s">
        <v>172</v>
      </c>
      <c r="C18" s="281"/>
      <c r="D18" s="281" t="s">
        <v>173</v>
      </c>
      <c r="E18" s="281"/>
      <c r="F18" s="281" t="s">
        <v>171</v>
      </c>
      <c r="G18" s="281"/>
    </row>
    <row r="19" spans="1:11" ht="18.75" x14ac:dyDescent="0.25">
      <c r="A19" s="106">
        <v>1</v>
      </c>
      <c r="B19" s="281">
        <v>2</v>
      </c>
      <c r="C19" s="281"/>
      <c r="D19" s="281">
        <v>3</v>
      </c>
      <c r="E19" s="281"/>
      <c r="F19" s="281">
        <v>4</v>
      </c>
      <c r="G19" s="281"/>
    </row>
    <row r="20" spans="1:11" ht="112.5" x14ac:dyDescent="0.25">
      <c r="A20" s="13" t="s">
        <v>170</v>
      </c>
      <c r="B20" s="281" t="s">
        <v>117</v>
      </c>
      <c r="C20" s="281"/>
      <c r="D20" s="281" t="s">
        <v>117</v>
      </c>
      <c r="E20" s="281"/>
      <c r="F20" s="287">
        <v>0</v>
      </c>
      <c r="G20" s="287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81" t="s">
        <v>172</v>
      </c>
      <c r="C24" s="281"/>
      <c r="D24" s="281" t="s">
        <v>173</v>
      </c>
      <c r="E24" s="281"/>
      <c r="F24" s="281" t="s">
        <v>94</v>
      </c>
      <c r="G24" s="281"/>
    </row>
    <row r="25" spans="1:11" ht="18.75" x14ac:dyDescent="0.25">
      <c r="A25" s="106">
        <v>1</v>
      </c>
      <c r="B25" s="281">
        <v>2</v>
      </c>
      <c r="C25" s="281"/>
      <c r="D25" s="281">
        <v>3</v>
      </c>
      <c r="E25" s="281"/>
      <c r="F25" s="281">
        <v>4</v>
      </c>
      <c r="G25" s="281"/>
    </row>
    <row r="26" spans="1:11" ht="75" x14ac:dyDescent="0.25">
      <c r="A26" s="13" t="s">
        <v>164</v>
      </c>
      <c r="B26" s="281"/>
      <c r="C26" s="281"/>
      <c r="D26" s="281"/>
      <c r="E26" s="281"/>
      <c r="F26" s="287">
        <f>'платные на 2024-2025 год'!G13</f>
        <v>0</v>
      </c>
      <c r="G26" s="287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81" t="s">
        <v>172</v>
      </c>
      <c r="C30" s="281"/>
      <c r="D30" s="281" t="s">
        <v>173</v>
      </c>
      <c r="E30" s="281"/>
      <c r="F30" s="281" t="s">
        <v>183</v>
      </c>
      <c r="G30" s="281"/>
    </row>
    <row r="31" spans="1:11" ht="18.75" x14ac:dyDescent="0.25">
      <c r="A31" s="106">
        <v>1</v>
      </c>
      <c r="B31" s="281">
        <v>2</v>
      </c>
      <c r="C31" s="281"/>
      <c r="D31" s="281">
        <v>3</v>
      </c>
      <c r="E31" s="281"/>
      <c r="F31" s="281">
        <v>4</v>
      </c>
      <c r="G31" s="281"/>
    </row>
    <row r="32" spans="1:11" ht="93.75" x14ac:dyDescent="0.25">
      <c r="A32" s="13" t="s">
        <v>271</v>
      </c>
      <c r="B32" s="281" t="s">
        <v>117</v>
      </c>
      <c r="C32" s="281"/>
      <c r="D32" s="281" t="s">
        <v>117</v>
      </c>
      <c r="E32" s="281"/>
      <c r="F32" s="287">
        <f>'платные на 2024-2025 год'!G15</f>
        <v>0</v>
      </c>
      <c r="G32" s="287"/>
    </row>
    <row r="33" spans="1:7" ht="18.75" x14ac:dyDescent="0.25">
      <c r="A33" s="105"/>
    </row>
    <row r="34" spans="1:7" ht="18.75" x14ac:dyDescent="0.25">
      <c r="A34" s="295" t="s">
        <v>176</v>
      </c>
      <c r="B34" s="295"/>
      <c r="C34" s="295"/>
      <c r="D34" s="295"/>
      <c r="E34" s="295"/>
      <c r="F34" s="295"/>
      <c r="G34" s="295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3" t="s">
        <v>86</v>
      </c>
      <c r="B38" s="292"/>
      <c r="C38" s="264"/>
      <c r="D38" s="263" t="s">
        <v>165</v>
      </c>
      <c r="E38" s="292"/>
      <c r="F38" s="292"/>
      <c r="G38" s="264"/>
    </row>
    <row r="39" spans="1:7" ht="18.75" x14ac:dyDescent="0.25">
      <c r="A39" s="263">
        <v>1</v>
      </c>
      <c r="B39" s="292"/>
      <c r="C39" s="264"/>
      <c r="D39" s="263">
        <v>3</v>
      </c>
      <c r="E39" s="292"/>
      <c r="F39" s="292"/>
      <c r="G39" s="264"/>
    </row>
    <row r="40" spans="1:7" ht="18.75" x14ac:dyDescent="0.25">
      <c r="A40" s="258" t="s">
        <v>175</v>
      </c>
      <c r="B40" s="259"/>
      <c r="C40" s="260"/>
      <c r="D40" s="261">
        <f>'платные на 2024-2025 год'!G14</f>
        <v>0</v>
      </c>
      <c r="E40" s="316"/>
      <c r="F40" s="316"/>
      <c r="G40" s="262"/>
    </row>
    <row r="41" spans="1:7" ht="18.75" x14ac:dyDescent="0.25">
      <c r="A41" s="105"/>
    </row>
    <row r="42" spans="1:7" ht="18.75" x14ac:dyDescent="0.25">
      <c r="A42" s="295" t="s">
        <v>177</v>
      </c>
      <c r="B42" s="295"/>
      <c r="C42" s="295"/>
      <c r="D42" s="295"/>
      <c r="E42" s="295"/>
      <c r="F42" s="295"/>
      <c r="G42" s="295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81" t="s">
        <v>172</v>
      </c>
      <c r="C46" s="281"/>
      <c r="D46" s="281" t="s">
        <v>173</v>
      </c>
      <c r="E46" s="281"/>
      <c r="F46" s="281" t="s">
        <v>183</v>
      </c>
      <c r="G46" s="281"/>
    </row>
    <row r="47" spans="1:7" ht="18.75" x14ac:dyDescent="0.25">
      <c r="A47" s="106">
        <v>1</v>
      </c>
      <c r="B47" s="281">
        <v>2</v>
      </c>
      <c r="C47" s="281"/>
      <c r="D47" s="281">
        <v>3</v>
      </c>
      <c r="E47" s="281"/>
      <c r="F47" s="281">
        <v>4</v>
      </c>
      <c r="G47" s="281"/>
    </row>
    <row r="48" spans="1:7" ht="37.5" x14ac:dyDescent="0.25">
      <c r="A48" s="13" t="s">
        <v>272</v>
      </c>
      <c r="B48" s="281" t="s">
        <v>117</v>
      </c>
      <c r="C48" s="281"/>
      <c r="D48" s="281" t="s">
        <v>117</v>
      </c>
      <c r="E48" s="281"/>
      <c r="F48" s="287">
        <f>'платные на 2024-2025 год'!G16</f>
        <v>0</v>
      </c>
      <c r="G48" s="287"/>
    </row>
    <row r="49" spans="1:7" ht="18.75" x14ac:dyDescent="0.25">
      <c r="A49" s="105"/>
    </row>
    <row r="50" spans="1:7" ht="18.75" x14ac:dyDescent="0.25">
      <c r="A50" s="295" t="s">
        <v>187</v>
      </c>
      <c r="B50" s="295"/>
      <c r="C50" s="295"/>
      <c r="D50" s="295"/>
      <c r="E50" s="295"/>
      <c r="F50" s="295"/>
      <c r="G50" s="295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81" t="s">
        <v>172</v>
      </c>
      <c r="C54" s="281"/>
      <c r="D54" s="281" t="s">
        <v>173</v>
      </c>
      <c r="E54" s="281"/>
      <c r="F54" s="263" t="s">
        <v>171</v>
      </c>
      <c r="G54" s="264"/>
    </row>
    <row r="55" spans="1:7" ht="18.75" x14ac:dyDescent="0.25">
      <c r="A55" s="106">
        <v>1</v>
      </c>
      <c r="B55" s="281">
        <v>2</v>
      </c>
      <c r="C55" s="281"/>
      <c r="D55" s="281">
        <v>3</v>
      </c>
      <c r="E55" s="281"/>
      <c r="F55" s="281">
        <v>4</v>
      </c>
      <c r="G55" s="281"/>
    </row>
    <row r="56" spans="1:7" ht="58.9" customHeight="1" x14ac:dyDescent="0.25">
      <c r="A56" s="13" t="s">
        <v>184</v>
      </c>
      <c r="B56" s="281" t="s">
        <v>117</v>
      </c>
      <c r="C56" s="281"/>
      <c r="D56" s="281" t="s">
        <v>117</v>
      </c>
      <c r="E56" s="281"/>
      <c r="F56" s="287">
        <v>0</v>
      </c>
      <c r="G56" s="287"/>
    </row>
    <row r="57" spans="1:7" ht="18.75" x14ac:dyDescent="0.25">
      <c r="A57" s="105"/>
    </row>
    <row r="58" spans="1:7" ht="18.75" x14ac:dyDescent="0.25">
      <c r="A58" s="295" t="s">
        <v>178</v>
      </c>
      <c r="B58" s="295"/>
      <c r="C58" s="295"/>
      <c r="D58" s="295"/>
      <c r="E58" s="295"/>
      <c r="F58" s="295"/>
      <c r="G58" s="295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81" t="s">
        <v>142</v>
      </c>
      <c r="C62" s="281"/>
      <c r="D62" s="281" t="s">
        <v>182</v>
      </c>
      <c r="E62" s="281"/>
      <c r="F62" s="281" t="s">
        <v>94</v>
      </c>
      <c r="G62" s="281"/>
    </row>
    <row r="63" spans="1:7" ht="18.75" x14ac:dyDescent="0.25">
      <c r="A63" s="106">
        <v>1</v>
      </c>
      <c r="B63" s="281">
        <v>2</v>
      </c>
      <c r="C63" s="281"/>
      <c r="D63" s="281">
        <v>3</v>
      </c>
      <c r="E63" s="281"/>
      <c r="F63" s="281">
        <v>4</v>
      </c>
      <c r="G63" s="281"/>
    </row>
    <row r="64" spans="1:7" ht="56.25" x14ac:dyDescent="0.25">
      <c r="A64" s="13" t="s">
        <v>179</v>
      </c>
      <c r="B64" s="281" t="s">
        <v>117</v>
      </c>
      <c r="C64" s="281"/>
      <c r="D64" s="281" t="s">
        <v>117</v>
      </c>
      <c r="E64" s="281"/>
      <c r="F64" s="287">
        <f>'платные на 2024-2025 год'!G19</f>
        <v>0</v>
      </c>
      <c r="G64" s="287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81" t="s">
        <v>142</v>
      </c>
      <c r="C68" s="281"/>
      <c r="D68" s="281" t="s">
        <v>182</v>
      </c>
      <c r="E68" s="281"/>
      <c r="F68" s="281" t="s">
        <v>94</v>
      </c>
      <c r="G68" s="281"/>
    </row>
    <row r="69" spans="1:7" ht="18.75" x14ac:dyDescent="0.25">
      <c r="A69" s="106">
        <v>1</v>
      </c>
      <c r="B69" s="281">
        <v>2</v>
      </c>
      <c r="C69" s="281"/>
      <c r="D69" s="281">
        <v>3</v>
      </c>
      <c r="E69" s="281"/>
      <c r="F69" s="281">
        <v>4</v>
      </c>
      <c r="G69" s="281"/>
    </row>
    <row r="70" spans="1:7" ht="56.25" x14ac:dyDescent="0.25">
      <c r="A70" s="13" t="s">
        <v>179</v>
      </c>
      <c r="B70" s="281" t="s">
        <v>117</v>
      </c>
      <c r="C70" s="281"/>
      <c r="D70" s="281" t="s">
        <v>117</v>
      </c>
      <c r="E70" s="281"/>
      <c r="F70" s="287">
        <f>'платные на 2024-2025 год'!G20</f>
        <v>0</v>
      </c>
      <c r="G70" s="287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95" t="s">
        <v>254</v>
      </c>
      <c r="B72" s="295"/>
      <c r="C72" s="295"/>
      <c r="D72" s="295"/>
      <c r="E72" s="295"/>
      <c r="F72" s="295"/>
      <c r="G72" s="29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81" t="s">
        <v>142</v>
      </c>
      <c r="C76" s="281"/>
      <c r="D76" s="281" t="s">
        <v>182</v>
      </c>
      <c r="E76" s="281"/>
      <c r="F76" s="281" t="s">
        <v>94</v>
      </c>
      <c r="G76" s="281"/>
    </row>
    <row r="77" spans="1:7" ht="18.75" x14ac:dyDescent="0.25">
      <c r="A77" s="106">
        <v>1</v>
      </c>
      <c r="B77" s="281">
        <v>2</v>
      </c>
      <c r="C77" s="281"/>
      <c r="D77" s="281">
        <v>3</v>
      </c>
      <c r="E77" s="281"/>
      <c r="F77" s="281">
        <v>4</v>
      </c>
      <c r="G77" s="281"/>
    </row>
    <row r="78" spans="1:7" ht="150" x14ac:dyDescent="0.25">
      <c r="A78" s="13" t="s">
        <v>70</v>
      </c>
      <c r="B78" s="281" t="s">
        <v>117</v>
      </c>
      <c r="C78" s="281"/>
      <c r="D78" s="281" t="s">
        <v>117</v>
      </c>
      <c r="E78" s="281"/>
      <c r="F78" s="287">
        <f>'платные на 2024-2025 год'!G23</f>
        <v>0</v>
      </c>
      <c r="G78" s="287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81" t="s">
        <v>142</v>
      </c>
      <c r="C82" s="281"/>
      <c r="D82" s="281" t="s">
        <v>182</v>
      </c>
      <c r="E82" s="281"/>
      <c r="F82" s="281" t="s">
        <v>94</v>
      </c>
      <c r="G82" s="281"/>
    </row>
    <row r="83" spans="1:7" ht="18.75" x14ac:dyDescent="0.25">
      <c r="A83" s="106">
        <v>1</v>
      </c>
      <c r="B83" s="281">
        <v>2</v>
      </c>
      <c r="C83" s="281"/>
      <c r="D83" s="281">
        <v>3</v>
      </c>
      <c r="E83" s="281"/>
      <c r="F83" s="281">
        <v>4</v>
      </c>
      <c r="G83" s="281"/>
    </row>
    <row r="84" spans="1:7" ht="187.5" x14ac:dyDescent="0.25">
      <c r="A84" s="13" t="s">
        <v>273</v>
      </c>
      <c r="B84" s="281" t="s">
        <v>117</v>
      </c>
      <c r="C84" s="281"/>
      <c r="D84" s="281" t="s">
        <v>117</v>
      </c>
      <c r="E84" s="281"/>
      <c r="F84" s="287">
        <f>'платные на 2024-2025 год'!G24</f>
        <v>0</v>
      </c>
      <c r="G84" s="287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5" t="s">
        <v>260</v>
      </c>
      <c r="B86" s="295"/>
      <c r="C86" s="295"/>
      <c r="D86" s="295"/>
      <c r="E86" s="295"/>
      <c r="F86" s="295"/>
      <c r="G86" s="29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81" t="s">
        <v>142</v>
      </c>
      <c r="C90" s="281"/>
      <c r="D90" s="281" t="s">
        <v>182</v>
      </c>
      <c r="E90" s="281"/>
      <c r="F90" s="281" t="s">
        <v>94</v>
      </c>
      <c r="G90" s="281"/>
    </row>
    <row r="91" spans="1:7" ht="18.75" x14ac:dyDescent="0.25">
      <c r="A91" s="106">
        <v>1</v>
      </c>
      <c r="B91" s="281">
        <v>2</v>
      </c>
      <c r="C91" s="281"/>
      <c r="D91" s="281">
        <v>3</v>
      </c>
      <c r="E91" s="281"/>
      <c r="F91" s="281">
        <v>4</v>
      </c>
      <c r="G91" s="281"/>
    </row>
    <row r="92" spans="1:7" ht="37.5" x14ac:dyDescent="0.25">
      <c r="A92" s="103" t="s">
        <v>194</v>
      </c>
      <c r="B92" s="263" t="s">
        <v>117</v>
      </c>
      <c r="C92" s="264"/>
      <c r="D92" s="263" t="s">
        <v>117</v>
      </c>
      <c r="E92" s="264"/>
      <c r="F92" s="287">
        <f>'платные на 2024-2025 год'!G110</f>
        <v>0</v>
      </c>
      <c r="G92" s="281"/>
    </row>
    <row r="93" spans="1:7" ht="56.25" x14ac:dyDescent="0.25">
      <c r="A93" s="103" t="s">
        <v>195</v>
      </c>
      <c r="B93" s="263" t="s">
        <v>117</v>
      </c>
      <c r="C93" s="264"/>
      <c r="D93" s="263" t="s">
        <v>117</v>
      </c>
      <c r="E93" s="264"/>
      <c r="F93" s="287">
        <f>'платные на 2024-2025 год'!G111</f>
        <v>0</v>
      </c>
      <c r="G93" s="281"/>
    </row>
    <row r="94" spans="1:7" ht="57" thickBot="1" x14ac:dyDescent="0.3">
      <c r="A94" s="32" t="s">
        <v>196</v>
      </c>
      <c r="B94" s="263" t="s">
        <v>117</v>
      </c>
      <c r="C94" s="264"/>
      <c r="D94" s="263" t="s">
        <v>117</v>
      </c>
      <c r="E94" s="264"/>
      <c r="F94" s="287">
        <f>'платные на 2024-2025 год'!G112</f>
        <v>0</v>
      </c>
      <c r="G94" s="281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5" t="s">
        <v>188</v>
      </c>
      <c r="B96" s="295"/>
      <c r="C96" s="295"/>
      <c r="D96" s="295"/>
      <c r="E96" s="295"/>
      <c r="F96" s="295"/>
      <c r="G96" s="295"/>
    </row>
    <row r="97" spans="1:7" ht="18.75" x14ac:dyDescent="0.25">
      <c r="A97" s="8"/>
    </row>
    <row r="98" spans="1:7" ht="18.75" x14ac:dyDescent="0.25">
      <c r="A98" s="280" t="s">
        <v>189</v>
      </c>
      <c r="B98" s="280"/>
      <c r="C98" s="280"/>
      <c r="D98" s="280"/>
      <c r="E98" s="280"/>
      <c r="F98" s="280"/>
      <c r="G98" s="280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1" t="s">
        <v>76</v>
      </c>
      <c r="B102" s="281" t="s">
        <v>77</v>
      </c>
      <c r="C102" s="281" t="s">
        <v>78</v>
      </c>
      <c r="D102" s="281"/>
      <c r="E102" s="281"/>
      <c r="F102" s="281"/>
      <c r="G102" s="281" t="s">
        <v>79</v>
      </c>
    </row>
    <row r="103" spans="1:7" ht="18.75" x14ac:dyDescent="0.25">
      <c r="A103" s="281"/>
      <c r="B103" s="281"/>
      <c r="C103" s="281" t="s">
        <v>80</v>
      </c>
      <c r="D103" s="281" t="s">
        <v>6</v>
      </c>
      <c r="E103" s="281"/>
      <c r="F103" s="281"/>
      <c r="G103" s="281"/>
    </row>
    <row r="104" spans="1:7" ht="75" x14ac:dyDescent="0.25">
      <c r="A104" s="281"/>
      <c r="B104" s="281"/>
      <c r="C104" s="281"/>
      <c r="D104" s="12" t="s">
        <v>81</v>
      </c>
      <c r="E104" s="12" t="s">
        <v>82</v>
      </c>
      <c r="F104" s="12" t="s">
        <v>83</v>
      </c>
      <c r="G104" s="281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год'!G69</f>
        <v>0</v>
      </c>
    </row>
    <row r="108" spans="1:7" ht="18.75" x14ac:dyDescent="0.25">
      <c r="A108" s="8"/>
    </row>
    <row r="109" spans="1:7" ht="18.75" x14ac:dyDescent="0.25">
      <c r="A109" s="280" t="s">
        <v>180</v>
      </c>
      <c r="B109" s="280"/>
      <c r="C109" s="280"/>
      <c r="D109" s="280"/>
      <c r="E109" s="280"/>
      <c r="F109" s="280"/>
      <c r="G109" s="280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81" t="s">
        <v>84</v>
      </c>
      <c r="B113" s="281" t="s">
        <v>244</v>
      </c>
      <c r="C113" s="281"/>
      <c r="D113" s="281" t="s">
        <v>185</v>
      </c>
      <c r="E113" s="281"/>
      <c r="F113" s="281" t="s">
        <v>85</v>
      </c>
      <c r="G113" s="281"/>
    </row>
    <row r="114" spans="1:7" ht="15" customHeight="1" x14ac:dyDescent="0.25">
      <c r="A114" s="281"/>
      <c r="B114" s="281"/>
      <c r="C114" s="281"/>
      <c r="D114" s="281"/>
      <c r="E114" s="281"/>
      <c r="F114" s="281"/>
      <c r="G114" s="281"/>
    </row>
    <row r="115" spans="1:7" ht="18.75" x14ac:dyDescent="0.25">
      <c r="A115" s="106">
        <v>1</v>
      </c>
      <c r="B115" s="281">
        <v>2</v>
      </c>
      <c r="C115" s="281"/>
      <c r="D115" s="281">
        <v>3</v>
      </c>
      <c r="E115" s="281"/>
      <c r="F115" s="281">
        <v>4</v>
      </c>
      <c r="G115" s="281"/>
    </row>
    <row r="116" spans="1:7" ht="18.75" x14ac:dyDescent="0.25">
      <c r="A116" s="13"/>
      <c r="B116" s="287">
        <f>'платные на 2024-2025 год'!G31+'платные на 2024-2025 год'!G33+'платные на 2024-2025 год'!G69</f>
        <v>0</v>
      </c>
      <c r="C116" s="287"/>
      <c r="D116" s="287">
        <f>G107</f>
        <v>0</v>
      </c>
      <c r="E116" s="287"/>
      <c r="F116" s="287">
        <f>B116-D116</f>
        <v>0</v>
      </c>
      <c r="G116" s="287"/>
    </row>
    <row r="117" spans="1:7" ht="18.75" x14ac:dyDescent="0.25">
      <c r="A117" s="8"/>
    </row>
    <row r="118" spans="1:7" ht="51" customHeight="1" x14ac:dyDescent="0.25">
      <c r="A118" s="288" t="s">
        <v>203</v>
      </c>
      <c r="B118" s="288"/>
      <c r="C118" s="288"/>
      <c r="D118" s="288"/>
      <c r="E118" s="288"/>
      <c r="F118" s="288"/>
      <c r="G118" s="288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81" t="s">
        <v>88</v>
      </c>
      <c r="D122" s="281"/>
      <c r="E122" s="106" t="s">
        <v>89</v>
      </c>
      <c r="F122" s="281" t="s">
        <v>90</v>
      </c>
      <c r="G122" s="281"/>
    </row>
    <row r="123" spans="1:7" ht="18.75" x14ac:dyDescent="0.25">
      <c r="A123" s="106">
        <v>1</v>
      </c>
      <c r="B123" s="106">
        <v>2</v>
      </c>
      <c r="C123" s="281">
        <v>3</v>
      </c>
      <c r="D123" s="281"/>
      <c r="E123" s="106">
        <v>4</v>
      </c>
      <c r="F123" s="281">
        <v>5</v>
      </c>
      <c r="G123" s="281"/>
    </row>
    <row r="124" spans="1:7" ht="18.75" x14ac:dyDescent="0.25">
      <c r="A124" s="13" t="s">
        <v>91</v>
      </c>
      <c r="B124" s="109"/>
      <c r="C124" s="281"/>
      <c r="D124" s="281"/>
      <c r="E124" s="14"/>
      <c r="F124" s="287">
        <f>'платные на 2024-2025 год'!G32</f>
        <v>0</v>
      </c>
      <c r="G124" s="287"/>
    </row>
    <row r="125" spans="1:7" ht="18.75" x14ac:dyDescent="0.25">
      <c r="A125" s="8"/>
    </row>
    <row r="126" spans="1:7" ht="33" customHeight="1" x14ac:dyDescent="0.25">
      <c r="A126" s="288" t="s">
        <v>227</v>
      </c>
      <c r="B126" s="288"/>
      <c r="C126" s="288"/>
      <c r="D126" s="288"/>
      <c r="E126" s="288"/>
      <c r="F126" s="288"/>
      <c r="G126" s="288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63" t="s">
        <v>229</v>
      </c>
      <c r="D130" s="292"/>
      <c r="E130" s="264"/>
      <c r="F130" s="281" t="s">
        <v>94</v>
      </c>
      <c r="G130" s="281"/>
    </row>
    <row r="131" spans="1:7" ht="18.75" x14ac:dyDescent="0.25">
      <c r="A131" s="106">
        <v>1</v>
      </c>
      <c r="B131" s="106">
        <v>2</v>
      </c>
      <c r="C131" s="263">
        <v>3</v>
      </c>
      <c r="D131" s="292"/>
      <c r="E131" s="264"/>
      <c r="F131" s="281">
        <v>4</v>
      </c>
      <c r="G131" s="281"/>
    </row>
    <row r="132" spans="1:7" ht="18.75" x14ac:dyDescent="0.25">
      <c r="A132" s="13"/>
      <c r="B132" s="109"/>
      <c r="C132" s="263"/>
      <c r="D132" s="292"/>
      <c r="E132" s="264"/>
      <c r="F132" s="287">
        <f>'платные на 2024-2025 год'!G35</f>
        <v>0</v>
      </c>
      <c r="G132" s="287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8" t="s">
        <v>204</v>
      </c>
      <c r="B134" s="288"/>
      <c r="C134" s="288"/>
      <c r="D134" s="288"/>
      <c r="E134" s="288"/>
      <c r="F134" s="288"/>
      <c r="G134" s="288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81" t="s">
        <v>86</v>
      </c>
      <c r="B138" s="281"/>
      <c r="C138" s="106" t="s">
        <v>92</v>
      </c>
      <c r="D138" s="281" t="s">
        <v>93</v>
      </c>
      <c r="E138" s="281"/>
      <c r="F138" s="281" t="s">
        <v>94</v>
      </c>
      <c r="G138" s="281"/>
    </row>
    <row r="139" spans="1:7" ht="18.75" x14ac:dyDescent="0.25">
      <c r="A139" s="263">
        <v>1</v>
      </c>
      <c r="B139" s="264"/>
      <c r="C139" s="106">
        <v>2</v>
      </c>
      <c r="D139" s="263">
        <v>3</v>
      </c>
      <c r="E139" s="264"/>
      <c r="F139" s="263">
        <v>4</v>
      </c>
      <c r="G139" s="264"/>
    </row>
    <row r="140" spans="1:7" ht="18.75" x14ac:dyDescent="0.25">
      <c r="A140" s="263"/>
      <c r="B140" s="264"/>
      <c r="C140" s="106"/>
      <c r="D140" s="263"/>
      <c r="E140" s="264"/>
      <c r="F140" s="261">
        <f>'платные на 2024-2025 год'!G41</f>
        <v>0</v>
      </c>
      <c r="G140" s="262"/>
    </row>
    <row r="141" spans="1:7" ht="18.75" x14ac:dyDescent="0.25">
      <c r="A141" s="8"/>
    </row>
    <row r="142" spans="1:7" ht="36.6" customHeight="1" x14ac:dyDescent="0.25">
      <c r="A142" s="288" t="s">
        <v>205</v>
      </c>
      <c r="B142" s="288"/>
      <c r="C142" s="288"/>
      <c r="D142" s="288"/>
      <c r="E142" s="288"/>
      <c r="F142" s="288"/>
      <c r="G142" s="288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81" t="s">
        <v>88</v>
      </c>
      <c r="D146" s="281"/>
      <c r="E146" s="106" t="s">
        <v>89</v>
      </c>
      <c r="F146" s="281" t="s">
        <v>90</v>
      </c>
      <c r="G146" s="281"/>
    </row>
    <row r="147" spans="1:7" ht="18.75" x14ac:dyDescent="0.25">
      <c r="A147" s="106">
        <v>1</v>
      </c>
      <c r="B147" s="106">
        <v>2</v>
      </c>
      <c r="C147" s="281">
        <v>3</v>
      </c>
      <c r="D147" s="281"/>
      <c r="E147" s="106">
        <v>4</v>
      </c>
      <c r="F147" s="281">
        <v>5</v>
      </c>
      <c r="G147" s="281"/>
    </row>
    <row r="148" spans="1:7" ht="37.5" x14ac:dyDescent="0.25">
      <c r="A148" s="13" t="s">
        <v>95</v>
      </c>
      <c r="B148" s="109"/>
      <c r="C148" s="281"/>
      <c r="D148" s="281"/>
      <c r="E148" s="14"/>
      <c r="F148" s="287">
        <f>'платные на 2024-2025 год'!G55</f>
        <v>0</v>
      </c>
      <c r="G148" s="287"/>
    </row>
    <row r="149" spans="1:7" ht="18.75" x14ac:dyDescent="0.25">
      <c r="A149" s="8"/>
    </row>
    <row r="150" spans="1:7" ht="41.45" customHeight="1" x14ac:dyDescent="0.25">
      <c r="A150" s="288" t="s">
        <v>206</v>
      </c>
      <c r="B150" s="288"/>
      <c r="C150" s="288"/>
      <c r="D150" s="288"/>
      <c r="E150" s="288"/>
      <c r="F150" s="288"/>
      <c r="G150" s="288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81" t="s">
        <v>97</v>
      </c>
      <c r="D154" s="281"/>
      <c r="E154" s="106" t="s">
        <v>89</v>
      </c>
      <c r="F154" s="281" t="s">
        <v>90</v>
      </c>
      <c r="G154" s="281"/>
    </row>
    <row r="155" spans="1:7" ht="18.75" x14ac:dyDescent="0.3">
      <c r="A155" s="106">
        <v>1</v>
      </c>
      <c r="B155" s="106">
        <v>2</v>
      </c>
      <c r="C155" s="281">
        <v>3</v>
      </c>
      <c r="D155" s="281"/>
      <c r="E155" s="106">
        <v>4</v>
      </c>
      <c r="F155" s="254">
        <v>5</v>
      </c>
      <c r="G155" s="255"/>
    </row>
    <row r="156" spans="1:7" ht="93.75" x14ac:dyDescent="0.25">
      <c r="A156" s="13" t="s">
        <v>98</v>
      </c>
      <c r="B156" s="107"/>
      <c r="C156" s="287"/>
      <c r="D156" s="287"/>
      <c r="E156" s="79"/>
      <c r="F156" s="305">
        <f>'платные на 2024-2025 год'!G56</f>
        <v>0</v>
      </c>
      <c r="G156" s="306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81" t="s">
        <v>97</v>
      </c>
      <c r="D160" s="281"/>
      <c r="E160" s="106" t="s">
        <v>89</v>
      </c>
      <c r="F160" s="281" t="s">
        <v>90</v>
      </c>
      <c r="G160" s="281"/>
    </row>
    <row r="161" spans="1:7" ht="18.75" x14ac:dyDescent="0.3">
      <c r="A161" s="106">
        <v>1</v>
      </c>
      <c r="B161" s="106">
        <v>2</v>
      </c>
      <c r="C161" s="281">
        <v>3</v>
      </c>
      <c r="D161" s="281"/>
      <c r="E161" s="106">
        <v>4</v>
      </c>
      <c r="F161" s="254">
        <v>5</v>
      </c>
      <c r="G161" s="255"/>
    </row>
    <row r="162" spans="1:7" ht="75" x14ac:dyDescent="0.25">
      <c r="A162" s="13" t="s">
        <v>157</v>
      </c>
      <c r="B162" s="107"/>
      <c r="C162" s="287"/>
      <c r="D162" s="287"/>
      <c r="E162" s="79"/>
      <c r="F162" s="305">
        <f>'платные на 2024-2025 год'!G57</f>
        <v>0</v>
      </c>
      <c r="G162" s="306"/>
    </row>
    <row r="163" spans="1:7" ht="18.75" x14ac:dyDescent="0.25">
      <c r="A163" s="13" t="s">
        <v>120</v>
      </c>
      <c r="B163" s="109"/>
      <c r="C163" s="263"/>
      <c r="D163" s="264"/>
      <c r="E163" s="14"/>
      <c r="F163" s="342"/>
      <c r="G163" s="344"/>
    </row>
    <row r="164" spans="1:7" ht="18.75" x14ac:dyDescent="0.25">
      <c r="A164" s="8"/>
    </row>
    <row r="165" spans="1:7" ht="36" customHeight="1" x14ac:dyDescent="0.25">
      <c r="A165" s="288" t="s">
        <v>207</v>
      </c>
      <c r="B165" s="288"/>
      <c r="C165" s="288"/>
      <c r="D165" s="288"/>
      <c r="E165" s="288"/>
      <c r="F165" s="288"/>
      <c r="G165" s="288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81" t="s">
        <v>99</v>
      </c>
      <c r="C169" s="281"/>
      <c r="D169" s="281" t="s">
        <v>100</v>
      </c>
      <c r="E169" s="281"/>
      <c r="F169" s="281" t="s">
        <v>101</v>
      </c>
      <c r="G169" s="281"/>
    </row>
    <row r="170" spans="1:7" ht="18.75" x14ac:dyDescent="0.3">
      <c r="A170" s="106">
        <v>1</v>
      </c>
      <c r="B170" s="263">
        <v>2</v>
      </c>
      <c r="C170" s="264"/>
      <c r="D170" s="263">
        <v>3</v>
      </c>
      <c r="E170" s="264"/>
      <c r="F170" s="254">
        <v>4</v>
      </c>
      <c r="G170" s="255"/>
    </row>
    <row r="171" spans="1:7" ht="93.75" x14ac:dyDescent="0.25">
      <c r="A171" s="13" t="s">
        <v>102</v>
      </c>
      <c r="B171" s="263"/>
      <c r="C171" s="264"/>
      <c r="D171" s="263"/>
      <c r="E171" s="264"/>
      <c r="F171" s="305">
        <f>'платные на 2024-2025 год'!G69</f>
        <v>0</v>
      </c>
      <c r="G171" s="306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81" t="s">
        <v>104</v>
      </c>
      <c r="E175" s="281"/>
      <c r="F175" s="281" t="s">
        <v>90</v>
      </c>
      <c r="G175" s="281"/>
    </row>
    <row r="176" spans="1:7" ht="18.75" x14ac:dyDescent="0.25">
      <c r="A176" s="106">
        <v>1</v>
      </c>
      <c r="B176" s="106">
        <v>2</v>
      </c>
      <c r="C176" s="106">
        <v>3</v>
      </c>
      <c r="D176" s="281">
        <v>4</v>
      </c>
      <c r="E176" s="281"/>
      <c r="F176" s="281">
        <v>5</v>
      </c>
      <c r="G176" s="281"/>
    </row>
    <row r="177" spans="1:7" ht="56.25" x14ac:dyDescent="0.25">
      <c r="A177" s="13" t="s">
        <v>105</v>
      </c>
      <c r="B177" s="109"/>
      <c r="C177" s="106"/>
      <c r="D177" s="263"/>
      <c r="E177" s="264"/>
      <c r="F177" s="261">
        <f>'платные на 2024-2025 год'!G72</f>
        <v>0</v>
      </c>
      <c r="G177" s="262"/>
    </row>
    <row r="178" spans="1:7" ht="18.75" x14ac:dyDescent="0.25">
      <c r="A178" s="8"/>
    </row>
    <row r="179" spans="1:7" ht="31.9" customHeight="1" x14ac:dyDescent="0.25">
      <c r="A179" s="280" t="s">
        <v>208</v>
      </c>
      <c r="B179" s="280"/>
      <c r="C179" s="280"/>
      <c r="D179" s="280"/>
      <c r="E179" s="280"/>
      <c r="F179" s="280"/>
      <c r="G179" s="280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81" t="s">
        <v>106</v>
      </c>
      <c r="C183" s="281"/>
      <c r="D183" s="281" t="s">
        <v>107</v>
      </c>
      <c r="E183" s="281"/>
      <c r="F183" s="281" t="s">
        <v>108</v>
      </c>
      <c r="G183" s="281"/>
    </row>
    <row r="184" spans="1:7" ht="18.75" x14ac:dyDescent="0.25">
      <c r="A184" s="106">
        <v>1</v>
      </c>
      <c r="B184" s="263">
        <v>2</v>
      </c>
      <c r="C184" s="264"/>
      <c r="D184" s="263">
        <v>3</v>
      </c>
      <c r="E184" s="264"/>
      <c r="F184" s="263">
        <v>4</v>
      </c>
      <c r="G184" s="264"/>
    </row>
    <row r="185" spans="1:7" ht="131.25" x14ac:dyDescent="0.25">
      <c r="A185" s="13" t="s">
        <v>27</v>
      </c>
      <c r="B185" s="281"/>
      <c r="C185" s="281"/>
      <c r="D185" s="281"/>
      <c r="E185" s="281"/>
      <c r="F185" s="287">
        <f>'платные на 2024-2025 год'!G66</f>
        <v>0</v>
      </c>
      <c r="G185" s="287"/>
    </row>
    <row r="186" spans="1:7" ht="18.75" x14ac:dyDescent="0.25">
      <c r="A186" s="13" t="s">
        <v>156</v>
      </c>
      <c r="B186" s="281"/>
      <c r="C186" s="281"/>
      <c r="D186" s="281"/>
      <c r="E186" s="281"/>
      <c r="F186" s="287"/>
      <c r="G186" s="287"/>
    </row>
    <row r="187" spans="1:7" ht="18.75" x14ac:dyDescent="0.25">
      <c r="A187" s="8"/>
    </row>
    <row r="188" spans="1:7" ht="34.9" customHeight="1" x14ac:dyDescent="0.25">
      <c r="A188" s="288" t="s">
        <v>226</v>
      </c>
      <c r="B188" s="288"/>
      <c r="C188" s="288"/>
      <c r="D188" s="288"/>
      <c r="E188" s="288"/>
      <c r="F188" s="288"/>
      <c r="G188" s="288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81" t="s">
        <v>109</v>
      </c>
      <c r="C191" s="281"/>
      <c r="D191" s="281" t="s">
        <v>110</v>
      </c>
      <c r="E191" s="281"/>
      <c r="F191" s="281" t="s">
        <v>111</v>
      </c>
      <c r="G191" s="281"/>
    </row>
    <row r="192" spans="1:7" ht="18.75" x14ac:dyDescent="0.25">
      <c r="A192" s="106">
        <v>1</v>
      </c>
      <c r="B192" s="263">
        <v>2</v>
      </c>
      <c r="C192" s="264"/>
      <c r="D192" s="293">
        <v>3</v>
      </c>
      <c r="E192" s="294"/>
      <c r="F192" s="293">
        <v>4</v>
      </c>
      <c r="G192" s="294"/>
    </row>
    <row r="193" spans="1:7" ht="37.5" x14ac:dyDescent="0.25">
      <c r="A193" s="13" t="s">
        <v>112</v>
      </c>
      <c r="B193" s="293"/>
      <c r="C193" s="294"/>
      <c r="D193" s="293"/>
      <c r="E193" s="294"/>
      <c r="F193" s="346">
        <f>'платные на 2024-2025 год'!G76</f>
        <v>0</v>
      </c>
      <c r="G193" s="347"/>
    </row>
    <row r="194" spans="1:7" ht="37.5" x14ac:dyDescent="0.25">
      <c r="A194" s="13" t="s">
        <v>113</v>
      </c>
      <c r="B194" s="293"/>
      <c r="C194" s="294"/>
      <c r="D194" s="293"/>
      <c r="E194" s="294"/>
      <c r="F194" s="348"/>
      <c r="G194" s="349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81" t="s">
        <v>109</v>
      </c>
      <c r="C198" s="281"/>
      <c r="D198" s="281" t="s">
        <v>110</v>
      </c>
      <c r="E198" s="281"/>
      <c r="F198" s="281" t="s">
        <v>115</v>
      </c>
      <c r="G198" s="281"/>
    </row>
    <row r="199" spans="1:7" ht="18.75" x14ac:dyDescent="0.3">
      <c r="A199" s="106">
        <v>1</v>
      </c>
      <c r="B199" s="263">
        <v>2</v>
      </c>
      <c r="C199" s="264"/>
      <c r="D199" s="263">
        <v>3</v>
      </c>
      <c r="E199" s="264"/>
      <c r="F199" s="254">
        <v>4</v>
      </c>
      <c r="G199" s="255"/>
    </row>
    <row r="200" spans="1:7" ht="39" customHeight="1" x14ac:dyDescent="0.25">
      <c r="A200" s="13" t="s">
        <v>116</v>
      </c>
      <c r="B200" s="263" t="s">
        <v>117</v>
      </c>
      <c r="C200" s="264"/>
      <c r="D200" s="263" t="s">
        <v>117</v>
      </c>
      <c r="E200" s="264"/>
      <c r="F200" s="305">
        <f>'платные на 2024-2025 год'!G77</f>
        <v>0</v>
      </c>
      <c r="G200" s="307"/>
    </row>
    <row r="201" spans="1:7" ht="18.75" x14ac:dyDescent="0.25">
      <c r="A201" s="13" t="s">
        <v>118</v>
      </c>
      <c r="B201" s="293"/>
      <c r="C201" s="294"/>
      <c r="D201" s="293"/>
      <c r="E201" s="294"/>
      <c r="F201" s="293"/>
      <c r="G201" s="294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81" t="s">
        <v>109</v>
      </c>
      <c r="C205" s="281"/>
      <c r="D205" s="281" t="s">
        <v>110</v>
      </c>
      <c r="E205" s="281"/>
      <c r="F205" s="281" t="s">
        <v>115</v>
      </c>
      <c r="G205" s="281"/>
    </row>
    <row r="206" spans="1:7" ht="18.75" x14ac:dyDescent="0.3">
      <c r="A206" s="106">
        <v>1</v>
      </c>
      <c r="B206" s="263">
        <v>2</v>
      </c>
      <c r="C206" s="264"/>
      <c r="D206" s="263">
        <v>3</v>
      </c>
      <c r="E206" s="264"/>
      <c r="F206" s="254">
        <v>4</v>
      </c>
      <c r="G206" s="255"/>
    </row>
    <row r="207" spans="1:7" ht="49.15" customHeight="1" x14ac:dyDescent="0.25">
      <c r="A207" s="13" t="s">
        <v>155</v>
      </c>
      <c r="B207" s="263" t="s">
        <v>117</v>
      </c>
      <c r="C207" s="264"/>
      <c r="D207" s="263" t="s">
        <v>117</v>
      </c>
      <c r="E207" s="264"/>
      <c r="F207" s="305">
        <f>'платные на 2024-2025 год'!G78</f>
        <v>0</v>
      </c>
      <c r="G207" s="306"/>
    </row>
    <row r="208" spans="1:7" ht="15" customHeight="1" x14ac:dyDescent="0.25">
      <c r="A208" s="13" t="s">
        <v>118</v>
      </c>
      <c r="B208" s="293"/>
      <c r="C208" s="294"/>
      <c r="D208" s="293"/>
      <c r="E208" s="294"/>
      <c r="F208" s="340"/>
      <c r="G208" s="341"/>
    </row>
    <row r="209" spans="1:7" ht="18.75" x14ac:dyDescent="0.25">
      <c r="A209" s="8"/>
    </row>
    <row r="210" spans="1:7" ht="45" customHeight="1" x14ac:dyDescent="0.25">
      <c r="A210" s="288" t="s">
        <v>209</v>
      </c>
      <c r="B210" s="288"/>
      <c r="C210" s="288"/>
      <c r="D210" s="288"/>
      <c r="E210" s="288"/>
      <c r="F210" s="288"/>
      <c r="G210" s="288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81" t="s">
        <v>106</v>
      </c>
      <c r="C214" s="281"/>
      <c r="D214" s="281" t="s">
        <v>107</v>
      </c>
      <c r="E214" s="281"/>
      <c r="F214" s="281" t="s">
        <v>108</v>
      </c>
      <c r="G214" s="281"/>
    </row>
    <row r="215" spans="1:7" ht="18.75" x14ac:dyDescent="0.25">
      <c r="A215" s="106">
        <v>1</v>
      </c>
      <c r="B215" s="281">
        <v>2</v>
      </c>
      <c r="C215" s="281"/>
      <c r="D215" s="281">
        <v>3</v>
      </c>
      <c r="E215" s="281"/>
      <c r="F215" s="281">
        <v>4</v>
      </c>
      <c r="G215" s="281"/>
    </row>
    <row r="216" spans="1:7" ht="18.75" x14ac:dyDescent="0.25">
      <c r="A216" s="13"/>
      <c r="B216" s="319"/>
      <c r="C216" s="319"/>
      <c r="D216" s="319"/>
      <c r="E216" s="319"/>
      <c r="F216" s="320">
        <f>'платные на 2024-2025 год'!G84</f>
        <v>0</v>
      </c>
      <c r="G216" s="320"/>
    </row>
    <row r="217" spans="1:7" ht="18.75" x14ac:dyDescent="0.25">
      <c r="A217" s="13"/>
      <c r="B217" s="319"/>
      <c r="C217" s="319"/>
      <c r="D217" s="319"/>
      <c r="E217" s="319"/>
      <c r="F217" s="320"/>
      <c r="G217" s="320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81" t="s">
        <v>106</v>
      </c>
      <c r="C221" s="281"/>
      <c r="D221" s="281" t="s">
        <v>107</v>
      </c>
      <c r="E221" s="281"/>
      <c r="F221" s="281" t="s">
        <v>108</v>
      </c>
      <c r="G221" s="281"/>
    </row>
    <row r="222" spans="1:7" ht="18" customHeight="1" x14ac:dyDescent="0.25">
      <c r="A222" s="106">
        <v>1</v>
      </c>
      <c r="B222" s="281">
        <v>2</v>
      </c>
      <c r="C222" s="281"/>
      <c r="D222" s="281">
        <v>3</v>
      </c>
      <c r="E222" s="281"/>
      <c r="F222" s="281">
        <v>4</v>
      </c>
      <c r="G222" s="281"/>
    </row>
    <row r="223" spans="1:7" ht="18" customHeight="1" x14ac:dyDescent="0.25">
      <c r="A223" s="13"/>
      <c r="B223" s="319"/>
      <c r="C223" s="319"/>
      <c r="D223" s="319"/>
      <c r="E223" s="319"/>
      <c r="F223" s="320">
        <f>'платные на 2024-2025 год'!G85</f>
        <v>0</v>
      </c>
      <c r="G223" s="320"/>
    </row>
    <row r="224" spans="1:7" ht="18" customHeight="1" x14ac:dyDescent="0.25">
      <c r="A224" s="13"/>
      <c r="B224" s="319"/>
      <c r="C224" s="319"/>
      <c r="D224" s="319"/>
      <c r="E224" s="319"/>
      <c r="F224" s="320"/>
      <c r="G224" s="320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81" t="s">
        <v>106</v>
      </c>
      <c r="C228" s="281"/>
      <c r="D228" s="281" t="s">
        <v>107</v>
      </c>
      <c r="E228" s="281"/>
      <c r="F228" s="281" t="s">
        <v>108</v>
      </c>
      <c r="G228" s="281"/>
    </row>
    <row r="229" spans="1:7" ht="18" customHeight="1" x14ac:dyDescent="0.25">
      <c r="A229" s="106">
        <v>1</v>
      </c>
      <c r="B229" s="281">
        <v>2</v>
      </c>
      <c r="C229" s="281"/>
      <c r="D229" s="281">
        <v>3</v>
      </c>
      <c r="E229" s="281"/>
      <c r="F229" s="281">
        <v>4</v>
      </c>
      <c r="G229" s="281"/>
    </row>
    <row r="230" spans="1:7" ht="18" customHeight="1" x14ac:dyDescent="0.25">
      <c r="A230" s="13"/>
      <c r="B230" s="319"/>
      <c r="C230" s="319"/>
      <c r="D230" s="319"/>
      <c r="E230" s="319"/>
      <c r="F230" s="320">
        <f>'платные на 2024-2025 год'!G86</f>
        <v>0</v>
      </c>
      <c r="G230" s="320"/>
    </row>
    <row r="231" spans="1:7" ht="18" customHeight="1" x14ac:dyDescent="0.25">
      <c r="A231" s="13"/>
      <c r="B231" s="319"/>
      <c r="C231" s="319"/>
      <c r="D231" s="319"/>
      <c r="E231" s="319"/>
      <c r="F231" s="320"/>
      <c r="G231" s="320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8" t="s">
        <v>213</v>
      </c>
      <c r="B233" s="288"/>
      <c r="C233" s="288"/>
      <c r="D233" s="288"/>
      <c r="E233" s="288"/>
      <c r="F233" s="288"/>
      <c r="G233" s="288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81" t="s">
        <v>109</v>
      </c>
      <c r="C236" s="281"/>
      <c r="D236" s="281" t="s">
        <v>110</v>
      </c>
      <c r="E236" s="281"/>
      <c r="F236" s="281" t="s">
        <v>111</v>
      </c>
      <c r="G236" s="281"/>
    </row>
    <row r="237" spans="1:7" ht="18" customHeight="1" x14ac:dyDescent="0.25">
      <c r="A237" s="106">
        <v>1</v>
      </c>
      <c r="B237" s="281">
        <v>2</v>
      </c>
      <c r="C237" s="281"/>
      <c r="D237" s="281">
        <v>3</v>
      </c>
      <c r="E237" s="281"/>
      <c r="F237" s="281">
        <v>4</v>
      </c>
      <c r="G237" s="281"/>
    </row>
    <row r="238" spans="1:7" ht="18" customHeight="1" x14ac:dyDescent="0.25">
      <c r="A238" s="106"/>
      <c r="B238" s="263"/>
      <c r="C238" s="264"/>
      <c r="D238" s="263"/>
      <c r="E238" s="264"/>
      <c r="F238" s="263"/>
      <c r="G238" s="264"/>
    </row>
    <row r="239" spans="1:7" ht="18" customHeight="1" x14ac:dyDescent="0.25">
      <c r="A239" s="106" t="s">
        <v>245</v>
      </c>
      <c r="B239" s="263"/>
      <c r="C239" s="264"/>
      <c r="D239" s="263"/>
      <c r="E239" s="264"/>
      <c r="F239" s="261">
        <f>'платные на 2024-2025 год'!G79</f>
        <v>0</v>
      </c>
      <c r="G239" s="264"/>
    </row>
    <row r="240" spans="1:7" ht="18" customHeight="1" x14ac:dyDescent="0.25">
      <c r="A240" s="106"/>
      <c r="B240" s="263"/>
      <c r="C240" s="264"/>
      <c r="D240" s="263"/>
      <c r="E240" s="264"/>
      <c r="F240" s="263"/>
      <c r="G240" s="264"/>
    </row>
    <row r="241" spans="1:7" ht="18" customHeight="1" x14ac:dyDescent="0.25">
      <c r="A241" s="106" t="s">
        <v>246</v>
      </c>
      <c r="B241" s="263"/>
      <c r="C241" s="264"/>
      <c r="D241" s="263"/>
      <c r="E241" s="264"/>
      <c r="F241" s="261">
        <f>'платные на 2024-2025 год'!G80</f>
        <v>0</v>
      </c>
      <c r="G241" s="264"/>
    </row>
    <row r="242" spans="1:7" ht="18" customHeight="1" x14ac:dyDescent="0.25">
      <c r="A242" s="106"/>
      <c r="B242" s="263"/>
      <c r="C242" s="264"/>
      <c r="D242" s="263"/>
      <c r="E242" s="264"/>
      <c r="F242" s="263"/>
      <c r="G242" s="264"/>
    </row>
    <row r="243" spans="1:7" ht="18" customHeight="1" x14ac:dyDescent="0.25">
      <c r="A243" s="106" t="s">
        <v>247</v>
      </c>
      <c r="B243" s="263"/>
      <c r="C243" s="264"/>
      <c r="D243" s="263"/>
      <c r="E243" s="264"/>
      <c r="F243" s="261">
        <f>'платные на 2024-2025 год'!G81</f>
        <v>0</v>
      </c>
      <c r="G243" s="264"/>
    </row>
    <row r="244" spans="1:7" ht="18" customHeight="1" x14ac:dyDescent="0.25">
      <c r="A244" s="106"/>
      <c r="B244" s="263"/>
      <c r="C244" s="264"/>
      <c r="D244" s="263"/>
      <c r="E244" s="264"/>
      <c r="F244" s="263"/>
      <c r="G244" s="264"/>
    </row>
    <row r="245" spans="1:7" ht="18" customHeight="1" x14ac:dyDescent="0.25">
      <c r="A245" s="106" t="s">
        <v>248</v>
      </c>
      <c r="B245" s="263"/>
      <c r="C245" s="264"/>
      <c r="D245" s="263"/>
      <c r="E245" s="264"/>
      <c r="F245" s="261">
        <f>'платные на 2024-2025 год'!G88</f>
        <v>0</v>
      </c>
      <c r="G245" s="264"/>
    </row>
    <row r="246" spans="1:7" ht="18" customHeight="1" x14ac:dyDescent="0.25">
      <c r="A246" s="106"/>
      <c r="B246" s="263"/>
      <c r="C246" s="264"/>
      <c r="D246" s="263"/>
      <c r="E246" s="264"/>
      <c r="F246" s="263"/>
      <c r="G246" s="264"/>
    </row>
    <row r="247" spans="1:7" ht="18" customHeight="1" x14ac:dyDescent="0.25">
      <c r="A247" s="106" t="s">
        <v>249</v>
      </c>
      <c r="B247" s="263"/>
      <c r="C247" s="264"/>
      <c r="D247" s="263"/>
      <c r="E247" s="264"/>
      <c r="F247" s="261">
        <f>'платные на 2024-2025 год'!G93</f>
        <v>0</v>
      </c>
      <c r="G247" s="264"/>
    </row>
    <row r="248" spans="1:7" ht="18" customHeight="1" x14ac:dyDescent="0.25">
      <c r="A248" s="13"/>
      <c r="B248" s="319"/>
      <c r="C248" s="319"/>
      <c r="D248" s="319"/>
      <c r="E248" s="319"/>
      <c r="F248" s="320"/>
      <c r="G248" s="320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8" t="s">
        <v>214</v>
      </c>
      <c r="B250" s="288"/>
      <c r="C250" s="288"/>
      <c r="D250" s="288"/>
      <c r="E250" s="288"/>
      <c r="F250" s="288"/>
      <c r="G250" s="288"/>
    </row>
    <row r="251" spans="1:7" ht="41.45" customHeight="1" x14ac:dyDescent="0.25">
      <c r="A251" s="282" t="s">
        <v>215</v>
      </c>
      <c r="B251" s="282"/>
      <c r="C251" s="282"/>
      <c r="D251" s="282"/>
      <c r="E251" s="282"/>
      <c r="F251" s="282"/>
      <c r="G251" s="282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81" t="s">
        <v>160</v>
      </c>
      <c r="C255" s="281"/>
      <c r="D255" s="281" t="s">
        <v>122</v>
      </c>
      <c r="E255" s="281"/>
      <c r="F255" s="281" t="s">
        <v>161</v>
      </c>
      <c r="G255" s="281"/>
    </row>
    <row r="256" spans="1:7" ht="28.9" customHeight="1" x14ac:dyDescent="0.25">
      <c r="A256" s="106">
        <v>1</v>
      </c>
      <c r="B256" s="263">
        <v>2</v>
      </c>
      <c r="C256" s="264"/>
      <c r="D256" s="263">
        <v>3</v>
      </c>
      <c r="E256" s="264"/>
      <c r="F256" s="293">
        <v>4</v>
      </c>
      <c r="G256" s="294"/>
    </row>
    <row r="257" spans="1:7" ht="28.9" customHeight="1" x14ac:dyDescent="0.25">
      <c r="A257" s="13" t="s">
        <v>159</v>
      </c>
      <c r="B257" s="293"/>
      <c r="C257" s="294"/>
      <c r="D257" s="293"/>
      <c r="E257" s="294"/>
      <c r="F257" s="340">
        <f>'платные на 2024-2025 год'!G36</f>
        <v>0</v>
      </c>
      <c r="G257" s="341"/>
    </row>
    <row r="258" spans="1:7" ht="28.9" customHeight="1" x14ac:dyDescent="0.25">
      <c r="A258" s="13" t="s">
        <v>120</v>
      </c>
      <c r="B258" s="293"/>
      <c r="C258" s="294"/>
      <c r="D258" s="293"/>
      <c r="E258" s="294"/>
      <c r="F258" s="340"/>
      <c r="G258" s="341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80" t="s">
        <v>216</v>
      </c>
      <c r="B260" s="280"/>
      <c r="C260" s="280"/>
      <c r="D260" s="280"/>
      <c r="E260" s="280"/>
      <c r="F260" s="280"/>
      <c r="G260" s="280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81" t="s">
        <v>121</v>
      </c>
      <c r="C264" s="281"/>
      <c r="D264" s="281" t="s">
        <v>122</v>
      </c>
      <c r="E264" s="281"/>
      <c r="F264" s="281" t="s">
        <v>186</v>
      </c>
      <c r="G264" s="281"/>
    </row>
    <row r="265" spans="1:7" ht="18.75" x14ac:dyDescent="0.25">
      <c r="A265" s="106">
        <v>1</v>
      </c>
      <c r="B265" s="263">
        <v>2</v>
      </c>
      <c r="C265" s="264"/>
      <c r="D265" s="263">
        <v>3</v>
      </c>
      <c r="E265" s="264"/>
      <c r="F265" s="293">
        <v>4</v>
      </c>
      <c r="G265" s="294"/>
    </row>
    <row r="266" spans="1:7" ht="37.5" x14ac:dyDescent="0.25">
      <c r="A266" s="13" t="s">
        <v>123</v>
      </c>
      <c r="B266" s="293"/>
      <c r="C266" s="294"/>
      <c r="D266" s="293"/>
      <c r="E266" s="294"/>
      <c r="F266" s="340">
        <f>'платные на 2024-2025 год'!G39</f>
        <v>0</v>
      </c>
      <c r="G266" s="341"/>
    </row>
    <row r="267" spans="1:7" ht="18.75" x14ac:dyDescent="0.25">
      <c r="A267" s="13" t="s">
        <v>124</v>
      </c>
      <c r="B267" s="293"/>
      <c r="C267" s="294"/>
      <c r="D267" s="293"/>
      <c r="E267" s="294"/>
      <c r="F267" s="340"/>
      <c r="G267" s="341"/>
    </row>
    <row r="268" spans="1:7" ht="18.75" x14ac:dyDescent="0.25">
      <c r="A268" s="13" t="s">
        <v>120</v>
      </c>
      <c r="B268" s="293"/>
      <c r="C268" s="294"/>
      <c r="D268" s="293"/>
      <c r="E268" s="294"/>
      <c r="F268" s="340"/>
      <c r="G268" s="341"/>
    </row>
    <row r="269" spans="1:7" x14ac:dyDescent="0.25">
      <c r="A269" s="23"/>
    </row>
    <row r="270" spans="1:7" ht="18.75" x14ac:dyDescent="0.25">
      <c r="A270" s="280" t="s">
        <v>217</v>
      </c>
      <c r="B270" s="280"/>
      <c r="C270" s="280"/>
      <c r="D270" s="280"/>
      <c r="E270" s="280"/>
      <c r="F270" s="280"/>
      <c r="G270" s="280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81" t="s">
        <v>125</v>
      </c>
      <c r="C274" s="281"/>
      <c r="D274" s="281" t="s">
        <v>93</v>
      </c>
      <c r="E274" s="281"/>
      <c r="F274" s="281" t="s">
        <v>186</v>
      </c>
      <c r="G274" s="281"/>
    </row>
    <row r="275" spans="1:7" ht="18.75" x14ac:dyDescent="0.25">
      <c r="A275" s="106">
        <v>1</v>
      </c>
      <c r="B275" s="263">
        <v>2</v>
      </c>
      <c r="C275" s="264"/>
      <c r="D275" s="263">
        <v>3</v>
      </c>
      <c r="E275" s="264"/>
      <c r="F275" s="263">
        <v>4</v>
      </c>
      <c r="G275" s="264"/>
    </row>
    <row r="276" spans="1:7" ht="18.75" x14ac:dyDescent="0.25">
      <c r="A276" s="13"/>
      <c r="B276" s="263"/>
      <c r="C276" s="264"/>
      <c r="D276" s="263"/>
      <c r="E276" s="264"/>
      <c r="F276" s="261">
        <f>'платные на 2024-2025 год'!G42</f>
        <v>0</v>
      </c>
      <c r="G276" s="262"/>
    </row>
    <row r="277" spans="1:7" ht="18.75" x14ac:dyDescent="0.25">
      <c r="A277" s="13" t="s">
        <v>120</v>
      </c>
      <c r="B277" s="263"/>
      <c r="C277" s="264"/>
      <c r="D277" s="263"/>
      <c r="E277" s="264"/>
      <c r="F277" s="261"/>
      <c r="G277" s="262"/>
    </row>
    <row r="278" spans="1:7" ht="18.75" x14ac:dyDescent="0.25">
      <c r="A278" s="8"/>
    </row>
    <row r="279" spans="1:7" ht="18.75" x14ac:dyDescent="0.25">
      <c r="A279" s="280" t="s">
        <v>218</v>
      </c>
      <c r="B279" s="280"/>
      <c r="C279" s="280"/>
      <c r="D279" s="280"/>
      <c r="E279" s="280"/>
      <c r="F279" s="280"/>
      <c r="G279" s="280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81" t="s">
        <v>126</v>
      </c>
      <c r="C283" s="281"/>
      <c r="D283" s="281" t="s">
        <v>127</v>
      </c>
      <c r="E283" s="281"/>
      <c r="F283" s="281" t="s">
        <v>94</v>
      </c>
      <c r="G283" s="281"/>
    </row>
    <row r="284" spans="1:7" ht="18.75" x14ac:dyDescent="0.25">
      <c r="A284" s="106">
        <v>1</v>
      </c>
      <c r="B284" s="263">
        <v>2</v>
      </c>
      <c r="C284" s="264"/>
      <c r="D284" s="263">
        <v>3</v>
      </c>
      <c r="E284" s="264"/>
      <c r="F284" s="263">
        <v>4</v>
      </c>
      <c r="G284" s="264"/>
    </row>
    <row r="285" spans="1:7" ht="75" x14ac:dyDescent="0.25">
      <c r="A285" s="13" t="s">
        <v>18</v>
      </c>
      <c r="B285" s="263"/>
      <c r="C285" s="264"/>
      <c r="D285" s="263"/>
      <c r="E285" s="264"/>
      <c r="F285" s="261">
        <f>'платные на 2024-2025 год'!G45</f>
        <v>0</v>
      </c>
      <c r="G285" s="262"/>
    </row>
    <row r="286" spans="1:7" ht="37.5" x14ac:dyDescent="0.25">
      <c r="A286" s="13" t="s">
        <v>19</v>
      </c>
      <c r="B286" s="263"/>
      <c r="C286" s="264"/>
      <c r="D286" s="263"/>
      <c r="E286" s="264"/>
      <c r="F286" s="261">
        <f>'платные на 2024-2025 год'!G46</f>
        <v>0</v>
      </c>
      <c r="G286" s="262"/>
    </row>
    <row r="287" spans="1:7" ht="75" x14ac:dyDescent="0.25">
      <c r="A287" s="13" t="s">
        <v>20</v>
      </c>
      <c r="B287" s="263"/>
      <c r="C287" s="264"/>
      <c r="D287" s="263"/>
      <c r="E287" s="264"/>
      <c r="F287" s="261">
        <f>'платные на 2024-2025 год'!G47</f>
        <v>0</v>
      </c>
      <c r="G287" s="262"/>
    </row>
    <row r="288" spans="1:7" ht="75" x14ac:dyDescent="0.25">
      <c r="A288" s="13" t="s">
        <v>21</v>
      </c>
      <c r="B288" s="263"/>
      <c r="C288" s="264"/>
      <c r="D288" s="263"/>
      <c r="E288" s="264"/>
      <c r="F288" s="261">
        <f>'платные на 2024-2025 год'!G48</f>
        <v>0</v>
      </c>
      <c r="G288" s="262"/>
    </row>
    <row r="289" spans="1:7" ht="56.25" x14ac:dyDescent="0.25">
      <c r="A289" s="24" t="s">
        <v>22</v>
      </c>
      <c r="B289" s="263"/>
      <c r="C289" s="264"/>
      <c r="D289" s="263"/>
      <c r="E289" s="264"/>
      <c r="F289" s="261">
        <f>'платные на 2024-2025 год'!G49</f>
        <v>0</v>
      </c>
      <c r="G289" s="262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5" t="s">
        <v>219</v>
      </c>
      <c r="B291" s="345"/>
      <c r="C291" s="345"/>
      <c r="D291" s="345"/>
      <c r="E291" s="345"/>
      <c r="F291" s="345"/>
      <c r="G291" s="345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81" t="s">
        <v>128</v>
      </c>
      <c r="C295" s="281"/>
      <c r="D295" s="281" t="s">
        <v>148</v>
      </c>
      <c r="E295" s="281"/>
      <c r="F295" s="281" t="s">
        <v>129</v>
      </c>
      <c r="G295" s="281"/>
    </row>
    <row r="296" spans="1:7" ht="18.75" x14ac:dyDescent="0.25">
      <c r="A296" s="106">
        <v>1</v>
      </c>
      <c r="B296" s="263">
        <v>2</v>
      </c>
      <c r="C296" s="264"/>
      <c r="D296" s="263">
        <v>3</v>
      </c>
      <c r="E296" s="264"/>
      <c r="F296" s="263">
        <v>4</v>
      </c>
      <c r="G296" s="264"/>
    </row>
    <row r="297" spans="1:7" ht="37.5" x14ac:dyDescent="0.25">
      <c r="A297" s="13" t="s">
        <v>130</v>
      </c>
      <c r="B297" s="263"/>
      <c r="C297" s="264"/>
      <c r="D297" s="263"/>
      <c r="E297" s="264"/>
      <c r="F297" s="261">
        <f>'платные на 2024-2025 год'!G50</f>
        <v>0</v>
      </c>
      <c r="G297" s="262"/>
    </row>
    <row r="298" spans="1:7" ht="18.75" x14ac:dyDescent="0.25">
      <c r="A298" s="13" t="s">
        <v>118</v>
      </c>
      <c r="B298" s="263"/>
      <c r="C298" s="264"/>
      <c r="D298" s="263"/>
      <c r="E298" s="264"/>
      <c r="F298" s="261"/>
      <c r="G298" s="262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82" t="s">
        <v>220</v>
      </c>
      <c r="B300" s="282"/>
      <c r="C300" s="282"/>
      <c r="D300" s="282"/>
      <c r="E300" s="282"/>
      <c r="F300" s="282"/>
      <c r="G300" s="282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81" t="s">
        <v>86</v>
      </c>
      <c r="B304" s="281"/>
      <c r="C304" s="281"/>
      <c r="D304" s="281" t="s">
        <v>131</v>
      </c>
      <c r="E304" s="281"/>
      <c r="F304" s="281" t="s">
        <v>132</v>
      </c>
      <c r="G304" s="281"/>
    </row>
    <row r="305" spans="1:7" ht="18.75" x14ac:dyDescent="0.3">
      <c r="A305" s="281">
        <v>1</v>
      </c>
      <c r="B305" s="281"/>
      <c r="C305" s="281"/>
      <c r="D305" s="254">
        <v>2</v>
      </c>
      <c r="E305" s="255"/>
      <c r="F305" s="254">
        <v>3</v>
      </c>
      <c r="G305" s="255"/>
    </row>
    <row r="306" spans="1:7" ht="43.15" customHeight="1" x14ac:dyDescent="0.25">
      <c r="A306" s="253" t="s">
        <v>163</v>
      </c>
      <c r="B306" s="253"/>
      <c r="C306" s="253"/>
      <c r="D306" s="289"/>
      <c r="E306" s="290"/>
      <c r="F306" s="305">
        <f>'платные на 2024-2025 год'!G52</f>
        <v>0</v>
      </c>
      <c r="G306" s="306"/>
    </row>
    <row r="307" spans="1:7" ht="18.75" x14ac:dyDescent="0.25">
      <c r="A307" s="258" t="s">
        <v>120</v>
      </c>
      <c r="B307" s="259"/>
      <c r="C307" s="260"/>
      <c r="D307" s="289"/>
      <c r="E307" s="290"/>
      <c r="F307" s="342"/>
      <c r="G307" s="344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81" t="s">
        <v>86</v>
      </c>
      <c r="B311" s="281"/>
      <c r="C311" s="281"/>
      <c r="D311" s="281" t="s">
        <v>131</v>
      </c>
      <c r="E311" s="281"/>
      <c r="F311" s="281" t="s">
        <v>132</v>
      </c>
      <c r="G311" s="281"/>
    </row>
    <row r="312" spans="1:7" ht="18.75" x14ac:dyDescent="0.3">
      <c r="A312" s="281">
        <v>1</v>
      </c>
      <c r="B312" s="281"/>
      <c r="C312" s="281"/>
      <c r="D312" s="254">
        <v>2</v>
      </c>
      <c r="E312" s="255"/>
      <c r="F312" s="254">
        <v>3</v>
      </c>
      <c r="G312" s="255"/>
    </row>
    <row r="313" spans="1:7" ht="34.15" customHeight="1" x14ac:dyDescent="0.25">
      <c r="A313" s="253" t="s">
        <v>133</v>
      </c>
      <c r="B313" s="253"/>
      <c r="C313" s="253"/>
      <c r="D313" s="289"/>
      <c r="E313" s="290"/>
      <c r="F313" s="305">
        <f>'платные на 2024-2025 год'!G53</f>
        <v>0</v>
      </c>
      <c r="G313" s="306"/>
    </row>
    <row r="314" spans="1:7" ht="34.15" customHeight="1" x14ac:dyDescent="0.25">
      <c r="A314" s="253" t="s">
        <v>134</v>
      </c>
      <c r="B314" s="253"/>
      <c r="C314" s="253"/>
      <c r="D314" s="289"/>
      <c r="E314" s="290"/>
      <c r="F314" s="342"/>
      <c r="G314" s="344"/>
    </row>
    <row r="315" spans="1:7" ht="34.15" customHeight="1" x14ac:dyDescent="0.25">
      <c r="A315" s="253" t="s">
        <v>135</v>
      </c>
      <c r="B315" s="253"/>
      <c r="C315" s="253"/>
      <c r="D315" s="289"/>
      <c r="E315" s="290"/>
      <c r="F315" s="342"/>
      <c r="G315" s="344"/>
    </row>
    <row r="316" spans="1:7" ht="34.15" customHeight="1" x14ac:dyDescent="0.25">
      <c r="A316" s="253" t="s">
        <v>136</v>
      </c>
      <c r="B316" s="253"/>
      <c r="C316" s="253"/>
      <c r="D316" s="289"/>
      <c r="E316" s="290"/>
      <c r="F316" s="342"/>
      <c r="G316" s="344"/>
    </row>
    <row r="317" spans="1:7" ht="18.75" x14ac:dyDescent="0.25">
      <c r="A317" s="258" t="s">
        <v>120</v>
      </c>
      <c r="B317" s="259"/>
      <c r="C317" s="260"/>
      <c r="D317" s="289"/>
      <c r="E317" s="290"/>
      <c r="F317" s="342"/>
      <c r="G317" s="344"/>
    </row>
    <row r="318" spans="1:7" ht="18.75" x14ac:dyDescent="0.25">
      <c r="A318" s="29"/>
    </row>
    <row r="319" spans="1:7" ht="18.75" x14ac:dyDescent="0.25">
      <c r="A319" s="280" t="s">
        <v>221</v>
      </c>
      <c r="B319" s="280"/>
      <c r="C319" s="280"/>
      <c r="D319" s="280"/>
      <c r="E319" s="280"/>
      <c r="F319" s="280"/>
      <c r="G319" s="280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81" t="s">
        <v>86</v>
      </c>
      <c r="B323" s="281"/>
      <c r="C323" s="281"/>
      <c r="D323" s="281" t="s">
        <v>137</v>
      </c>
      <c r="E323" s="281"/>
      <c r="F323" s="281" t="s">
        <v>138</v>
      </c>
      <c r="G323" s="281"/>
    </row>
    <row r="324" spans="1:7" ht="18.75" x14ac:dyDescent="0.3">
      <c r="A324" s="263">
        <v>1</v>
      </c>
      <c r="B324" s="292"/>
      <c r="C324" s="264"/>
      <c r="D324" s="254">
        <v>2</v>
      </c>
      <c r="E324" s="255"/>
      <c r="F324" s="254">
        <v>3</v>
      </c>
      <c r="G324" s="255"/>
    </row>
    <row r="325" spans="1:7" ht="38.450000000000003" customHeight="1" x14ac:dyDescent="0.25">
      <c r="A325" s="258" t="s">
        <v>162</v>
      </c>
      <c r="B325" s="259"/>
      <c r="C325" s="260"/>
      <c r="D325" s="289"/>
      <c r="E325" s="290"/>
      <c r="F325" s="305">
        <f>'платные на 2024-2025 год'!G58</f>
        <v>0</v>
      </c>
      <c r="G325" s="306"/>
    </row>
    <row r="326" spans="1:7" ht="18.75" x14ac:dyDescent="0.25">
      <c r="A326" s="258" t="s">
        <v>120</v>
      </c>
      <c r="B326" s="259"/>
      <c r="C326" s="260"/>
      <c r="D326" s="289"/>
      <c r="E326" s="290"/>
      <c r="F326" s="342"/>
      <c r="G326" s="344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81" t="s">
        <v>86</v>
      </c>
      <c r="B330" s="281"/>
      <c r="C330" s="281"/>
      <c r="D330" s="281" t="s">
        <v>137</v>
      </c>
      <c r="E330" s="281"/>
      <c r="F330" s="281" t="s">
        <v>138</v>
      </c>
      <c r="G330" s="281"/>
    </row>
    <row r="331" spans="1:7" ht="18.75" x14ac:dyDescent="0.3">
      <c r="A331" s="263">
        <v>1</v>
      </c>
      <c r="B331" s="292"/>
      <c r="C331" s="264"/>
      <c r="D331" s="254">
        <v>2</v>
      </c>
      <c r="E331" s="255"/>
      <c r="F331" s="254">
        <v>3</v>
      </c>
      <c r="G331" s="255"/>
    </row>
    <row r="332" spans="1:7" ht="18.75" x14ac:dyDescent="0.25">
      <c r="A332" s="258" t="s">
        <v>139</v>
      </c>
      <c r="B332" s="259"/>
      <c r="C332" s="260"/>
      <c r="D332" s="289"/>
      <c r="E332" s="290"/>
      <c r="F332" s="305">
        <f>'платные на 2024-2025 год'!G59</f>
        <v>0</v>
      </c>
      <c r="G332" s="306"/>
    </row>
    <row r="333" spans="1:7" ht="18.75" x14ac:dyDescent="0.25">
      <c r="A333" s="258" t="s">
        <v>140</v>
      </c>
      <c r="B333" s="259"/>
      <c r="C333" s="260"/>
      <c r="D333" s="289"/>
      <c r="E333" s="290"/>
      <c r="F333" s="305"/>
      <c r="G333" s="306"/>
    </row>
    <row r="334" spans="1:7" ht="18.75" x14ac:dyDescent="0.25">
      <c r="A334" s="258" t="s">
        <v>141</v>
      </c>
      <c r="B334" s="259"/>
      <c r="C334" s="260"/>
      <c r="D334" s="289"/>
      <c r="E334" s="290"/>
      <c r="F334" s="342"/>
      <c r="G334" s="344"/>
    </row>
    <row r="335" spans="1:7" ht="18.75" x14ac:dyDescent="0.25">
      <c r="A335" s="258" t="s">
        <v>120</v>
      </c>
      <c r="B335" s="259"/>
      <c r="C335" s="260"/>
      <c r="D335" s="289"/>
      <c r="E335" s="290"/>
      <c r="F335" s="342"/>
      <c r="G335" s="344"/>
    </row>
    <row r="336" spans="1:7" ht="18.75" x14ac:dyDescent="0.25">
      <c r="A336" s="8"/>
    </row>
    <row r="337" spans="1:7" ht="18.75" x14ac:dyDescent="0.25">
      <c r="A337" s="280" t="s">
        <v>222</v>
      </c>
      <c r="B337" s="280"/>
      <c r="C337" s="280"/>
      <c r="D337" s="280"/>
      <c r="E337" s="280"/>
      <c r="F337" s="280"/>
      <c r="G337" s="280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63" t="s">
        <v>86</v>
      </c>
      <c r="B341" s="264"/>
      <c r="C341" s="263" t="s">
        <v>137</v>
      </c>
      <c r="D341" s="264"/>
      <c r="E341" s="263" t="s">
        <v>138</v>
      </c>
      <c r="F341" s="292"/>
      <c r="G341" s="264"/>
    </row>
    <row r="342" spans="1:7" ht="18.75" x14ac:dyDescent="0.3">
      <c r="A342" s="263">
        <v>1</v>
      </c>
      <c r="B342" s="264"/>
      <c r="C342" s="263">
        <v>2</v>
      </c>
      <c r="D342" s="264"/>
      <c r="E342" s="254">
        <v>3</v>
      </c>
      <c r="F342" s="291"/>
      <c r="G342" s="255"/>
    </row>
    <row r="343" spans="1:7" ht="18.75" x14ac:dyDescent="0.25">
      <c r="A343" s="258" t="s">
        <v>25</v>
      </c>
      <c r="B343" s="260"/>
      <c r="C343" s="263"/>
      <c r="D343" s="264"/>
      <c r="E343" s="342">
        <f>'платные на 2024-2025 год'!G61</f>
        <v>0</v>
      </c>
      <c r="F343" s="343"/>
      <c r="G343" s="344"/>
    </row>
    <row r="344" spans="1:7" ht="18.75" x14ac:dyDescent="0.25">
      <c r="A344" s="258" t="s">
        <v>120</v>
      </c>
      <c r="B344" s="260"/>
      <c r="C344" s="263"/>
      <c r="D344" s="264"/>
      <c r="E344" s="342"/>
      <c r="F344" s="343"/>
      <c r="G344" s="344"/>
    </row>
    <row r="345" spans="1:7" x14ac:dyDescent="0.25">
      <c r="A345" s="23"/>
    </row>
    <row r="346" spans="1:7" ht="43.15" customHeight="1" x14ac:dyDescent="0.25">
      <c r="A346" s="288" t="s">
        <v>223</v>
      </c>
      <c r="B346" s="288"/>
      <c r="C346" s="288"/>
      <c r="D346" s="288"/>
      <c r="E346" s="288"/>
      <c r="F346" s="288"/>
      <c r="G346" s="288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81" t="s">
        <v>142</v>
      </c>
      <c r="C350" s="281"/>
      <c r="D350" s="281" t="s">
        <v>143</v>
      </c>
      <c r="E350" s="281"/>
      <c r="F350" s="281" t="s">
        <v>149</v>
      </c>
      <c r="G350" s="281"/>
    </row>
    <row r="351" spans="1:7" ht="18.75" x14ac:dyDescent="0.25">
      <c r="A351" s="106">
        <v>1</v>
      </c>
      <c r="B351" s="263">
        <v>2</v>
      </c>
      <c r="C351" s="264"/>
      <c r="D351" s="263">
        <v>3</v>
      </c>
      <c r="E351" s="264"/>
      <c r="F351" s="263">
        <v>4</v>
      </c>
      <c r="G351" s="264"/>
    </row>
    <row r="352" spans="1:7" ht="18.75" x14ac:dyDescent="0.25">
      <c r="A352" s="106"/>
      <c r="B352" s="263"/>
      <c r="C352" s="264"/>
      <c r="D352" s="263"/>
      <c r="E352" s="264"/>
      <c r="F352" s="261"/>
      <c r="G352" s="262"/>
    </row>
    <row r="353" spans="1:7" ht="18.75" x14ac:dyDescent="0.25">
      <c r="A353" s="112" t="s">
        <v>248</v>
      </c>
      <c r="B353" s="263"/>
      <c r="C353" s="264"/>
      <c r="D353" s="263"/>
      <c r="E353" s="264"/>
      <c r="F353" s="261">
        <f>'платные на 2024-2025 год'!G83</f>
        <v>0</v>
      </c>
      <c r="G353" s="262"/>
    </row>
    <row r="354" spans="1:7" ht="18.75" x14ac:dyDescent="0.25">
      <c r="A354" s="112"/>
      <c r="B354" s="263"/>
      <c r="C354" s="264"/>
      <c r="D354" s="263"/>
      <c r="E354" s="264"/>
      <c r="F354" s="261"/>
      <c r="G354" s="262"/>
    </row>
    <row r="355" spans="1:7" ht="18.75" x14ac:dyDescent="0.25">
      <c r="A355" s="13" t="s">
        <v>249</v>
      </c>
      <c r="B355" s="263"/>
      <c r="C355" s="264"/>
      <c r="D355" s="263"/>
      <c r="E355" s="264"/>
      <c r="F355" s="261">
        <f>'платные на 2024-2025 год'!G90</f>
        <v>0</v>
      </c>
      <c r="G355" s="262"/>
    </row>
    <row r="356" spans="1:7" ht="18.75" x14ac:dyDescent="0.25">
      <c r="A356" s="8"/>
    </row>
    <row r="357" spans="1:7" ht="18.75" x14ac:dyDescent="0.25">
      <c r="A357" s="280" t="s">
        <v>224</v>
      </c>
      <c r="B357" s="280"/>
      <c r="C357" s="280"/>
      <c r="D357" s="280"/>
      <c r="E357" s="280"/>
      <c r="F357" s="280"/>
      <c r="G357" s="280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81" t="s">
        <v>142</v>
      </c>
      <c r="C361" s="281"/>
      <c r="D361" s="281" t="s">
        <v>143</v>
      </c>
      <c r="E361" s="281"/>
      <c r="F361" s="281" t="s">
        <v>150</v>
      </c>
      <c r="G361" s="281"/>
    </row>
    <row r="362" spans="1:7" ht="18.75" x14ac:dyDescent="0.25">
      <c r="A362" s="106">
        <v>1</v>
      </c>
      <c r="B362" s="263">
        <v>2</v>
      </c>
      <c r="C362" s="264"/>
      <c r="D362" s="263">
        <v>3</v>
      </c>
      <c r="E362" s="264"/>
      <c r="F362" s="263">
        <v>4</v>
      </c>
      <c r="G362" s="264"/>
    </row>
    <row r="363" spans="1:7" ht="56.25" x14ac:dyDescent="0.25">
      <c r="A363" s="13" t="s">
        <v>144</v>
      </c>
      <c r="B363" s="263"/>
      <c r="C363" s="264"/>
      <c r="D363" s="263"/>
      <c r="E363" s="264"/>
      <c r="F363" s="261">
        <f>'платные на 2024-2025 год'!G96</f>
        <v>0</v>
      </c>
      <c r="G363" s="262"/>
    </row>
    <row r="364" spans="1:7" ht="18.75" x14ac:dyDescent="0.25">
      <c r="A364" s="13" t="s">
        <v>120</v>
      </c>
      <c r="B364" s="263"/>
      <c r="C364" s="264"/>
      <c r="D364" s="263"/>
      <c r="E364" s="264"/>
      <c r="F364" s="261"/>
      <c r="G364" s="262"/>
    </row>
    <row r="365" spans="1:7" ht="18.75" x14ac:dyDescent="0.25">
      <c r="A365" s="8"/>
    </row>
    <row r="366" spans="1:7" ht="28.15" customHeight="1" x14ac:dyDescent="0.25">
      <c r="A366" s="280" t="s">
        <v>250</v>
      </c>
      <c r="B366" s="280"/>
      <c r="C366" s="280"/>
      <c r="D366" s="280"/>
      <c r="E366" s="280"/>
      <c r="F366" s="280"/>
      <c r="G366" s="280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81" t="s">
        <v>142</v>
      </c>
      <c r="C370" s="281"/>
      <c r="D370" s="281" t="s">
        <v>143</v>
      </c>
      <c r="E370" s="281"/>
      <c r="F370" s="281" t="s">
        <v>150</v>
      </c>
      <c r="G370" s="281"/>
    </row>
    <row r="371" spans="1:7" ht="18.75" x14ac:dyDescent="0.25">
      <c r="A371" s="106">
        <v>1</v>
      </c>
      <c r="B371" s="263">
        <v>2</v>
      </c>
      <c r="C371" s="264"/>
      <c r="D371" s="263">
        <v>3</v>
      </c>
      <c r="E371" s="264"/>
      <c r="F371" s="263">
        <v>4</v>
      </c>
      <c r="G371" s="264"/>
    </row>
    <row r="372" spans="1:7" ht="18.75" x14ac:dyDescent="0.25">
      <c r="A372" s="13"/>
      <c r="B372" s="263"/>
      <c r="C372" s="264"/>
      <c r="D372" s="263"/>
      <c r="E372" s="264"/>
      <c r="F372" s="261">
        <f>'платные на 2024-2025 год'!G97</f>
        <v>0</v>
      </c>
      <c r="G372" s="262"/>
    </row>
    <row r="373" spans="1:7" ht="18.75" x14ac:dyDescent="0.25">
      <c r="A373" s="13" t="s">
        <v>120</v>
      </c>
      <c r="B373" s="263"/>
      <c r="C373" s="264"/>
      <c r="D373" s="263"/>
      <c r="E373" s="264"/>
      <c r="F373" s="261"/>
      <c r="G373" s="262"/>
    </row>
    <row r="374" spans="1:7" ht="18.75" x14ac:dyDescent="0.25">
      <c r="A374" s="8"/>
    </row>
    <row r="375" spans="1:7" ht="31.9" customHeight="1" x14ac:dyDescent="0.25">
      <c r="A375" s="288" t="s">
        <v>251</v>
      </c>
      <c r="B375" s="288"/>
      <c r="C375" s="288"/>
      <c r="D375" s="288"/>
      <c r="E375" s="288"/>
      <c r="F375" s="288"/>
      <c r="G375" s="288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81" t="s">
        <v>142</v>
      </c>
      <c r="C379" s="281"/>
      <c r="D379" s="281" t="s">
        <v>143</v>
      </c>
      <c r="E379" s="281"/>
      <c r="F379" s="281" t="s">
        <v>150</v>
      </c>
      <c r="G379" s="281"/>
    </row>
    <row r="380" spans="1:7" ht="18.75" x14ac:dyDescent="0.25">
      <c r="A380" s="106">
        <v>1</v>
      </c>
      <c r="B380" s="263">
        <v>2</v>
      </c>
      <c r="C380" s="264"/>
      <c r="D380" s="263">
        <v>3</v>
      </c>
      <c r="E380" s="264"/>
      <c r="F380" s="263">
        <v>4</v>
      </c>
      <c r="G380" s="264"/>
    </row>
    <row r="381" spans="1:7" ht="18.75" x14ac:dyDescent="0.25">
      <c r="A381" s="13"/>
      <c r="B381" s="293"/>
      <c r="C381" s="294"/>
      <c r="D381" s="293"/>
      <c r="E381" s="294"/>
      <c r="F381" s="340"/>
      <c r="G381" s="341"/>
    </row>
    <row r="382" spans="1:7" ht="18.75" x14ac:dyDescent="0.25">
      <c r="A382" s="13" t="s">
        <v>237</v>
      </c>
      <c r="B382" s="293"/>
      <c r="C382" s="294"/>
      <c r="D382" s="293"/>
      <c r="E382" s="294"/>
      <c r="F382" s="340">
        <f>'платные на 2024-2025 год'!G100</f>
        <v>0</v>
      </c>
      <c r="G382" s="341"/>
    </row>
    <row r="383" spans="1:7" ht="18.75" x14ac:dyDescent="0.25">
      <c r="A383" s="13"/>
      <c r="B383" s="293"/>
      <c r="C383" s="294"/>
      <c r="D383" s="293"/>
      <c r="E383" s="294"/>
      <c r="F383" s="340"/>
      <c r="G383" s="341"/>
    </row>
    <row r="384" spans="1:7" ht="18.75" x14ac:dyDescent="0.25">
      <c r="A384" s="13" t="s">
        <v>238</v>
      </c>
      <c r="B384" s="293"/>
      <c r="C384" s="294"/>
      <c r="D384" s="293"/>
      <c r="E384" s="294"/>
      <c r="F384" s="340">
        <f>'платные на 2024-2025 год'!G101</f>
        <v>0</v>
      </c>
      <c r="G384" s="341"/>
    </row>
    <row r="385" spans="1:7" ht="18.75" x14ac:dyDescent="0.25">
      <c r="A385" s="13"/>
      <c r="B385" s="293"/>
      <c r="C385" s="294"/>
      <c r="D385" s="293"/>
      <c r="E385" s="294"/>
      <c r="F385" s="340"/>
      <c r="G385" s="341"/>
    </row>
    <row r="386" spans="1:7" ht="18.75" x14ac:dyDescent="0.25">
      <c r="A386" s="13" t="s">
        <v>239</v>
      </c>
      <c r="B386" s="293"/>
      <c r="C386" s="294"/>
      <c r="D386" s="293"/>
      <c r="E386" s="294"/>
      <c r="F386" s="340">
        <f>'платные на 2024-2025 год'!G102</f>
        <v>0</v>
      </c>
      <c r="G386" s="341"/>
    </row>
    <row r="387" spans="1:7" ht="18.75" x14ac:dyDescent="0.25">
      <c r="A387" s="13"/>
      <c r="B387" s="293"/>
      <c r="C387" s="294"/>
      <c r="D387" s="293"/>
      <c r="E387" s="294"/>
      <c r="F387" s="340"/>
      <c r="G387" s="341"/>
    </row>
    <row r="388" spans="1:7" ht="18.75" x14ac:dyDescent="0.25">
      <c r="A388" s="13" t="s">
        <v>240</v>
      </c>
      <c r="B388" s="293"/>
      <c r="C388" s="294"/>
      <c r="D388" s="293"/>
      <c r="E388" s="294"/>
      <c r="F388" s="340">
        <f>'платные на 2024-2025 год'!G103</f>
        <v>0</v>
      </c>
      <c r="G388" s="341"/>
    </row>
    <row r="389" spans="1:7" ht="18.75" x14ac:dyDescent="0.25">
      <c r="A389" s="13"/>
      <c r="B389" s="293"/>
      <c r="C389" s="294"/>
      <c r="D389" s="293"/>
      <c r="E389" s="294"/>
      <c r="F389" s="340"/>
      <c r="G389" s="341"/>
    </row>
    <row r="390" spans="1:7" ht="18.75" x14ac:dyDescent="0.25">
      <c r="A390" s="13" t="s">
        <v>241</v>
      </c>
      <c r="B390" s="293"/>
      <c r="C390" s="294"/>
      <c r="D390" s="293"/>
      <c r="E390" s="294"/>
      <c r="F390" s="340">
        <f>'платные на 2024-2025 год'!G104</f>
        <v>0</v>
      </c>
      <c r="G390" s="341"/>
    </row>
    <row r="391" spans="1:7" ht="18.75" x14ac:dyDescent="0.25">
      <c r="A391" s="13"/>
      <c r="B391" s="293"/>
      <c r="C391" s="294"/>
      <c r="D391" s="293"/>
      <c r="E391" s="294"/>
      <c r="F391" s="340"/>
      <c r="G391" s="341"/>
    </row>
    <row r="392" spans="1:7" ht="18.75" x14ac:dyDescent="0.25">
      <c r="A392" s="13" t="s">
        <v>242</v>
      </c>
      <c r="B392" s="293"/>
      <c r="C392" s="294"/>
      <c r="D392" s="293"/>
      <c r="E392" s="294"/>
      <c r="F392" s="340">
        <f>'платные на 2024-2025 год'!G105</f>
        <v>0</v>
      </c>
      <c r="G392" s="341"/>
    </row>
    <row r="393" spans="1:7" ht="18.75" x14ac:dyDescent="0.25">
      <c r="A393" s="13"/>
      <c r="B393" s="293"/>
      <c r="C393" s="294"/>
      <c r="D393" s="293"/>
      <c r="E393" s="294"/>
      <c r="F393" s="340"/>
      <c r="G393" s="341"/>
    </row>
    <row r="394" spans="1:7" ht="18.75" x14ac:dyDescent="0.25">
      <c r="A394" s="13" t="s">
        <v>243</v>
      </c>
      <c r="B394" s="293"/>
      <c r="C394" s="294"/>
      <c r="D394" s="293"/>
      <c r="E394" s="294"/>
      <c r="F394" s="340">
        <f>'платные на 2024-2025 год'!G107</f>
        <v>0</v>
      </c>
      <c r="G394" s="341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7"/>
      <c r="D397" s="227"/>
      <c r="E397" s="10"/>
      <c r="F397" s="227"/>
      <c r="G397" s="227"/>
    </row>
    <row r="398" spans="1:7" ht="18.75" x14ac:dyDescent="0.3">
      <c r="A398" s="29"/>
      <c r="B398" s="10"/>
      <c r="C398" s="226" t="s">
        <v>53</v>
      </c>
      <c r="D398" s="226"/>
      <c r="E398" s="10"/>
      <c r="F398" s="226" t="s">
        <v>54</v>
      </c>
      <c r="G398" s="226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7"/>
      <c r="D400" s="227"/>
      <c r="E400" s="10"/>
      <c r="F400" s="227"/>
      <c r="G400" s="227"/>
    </row>
    <row r="401" spans="1:7" ht="18.75" x14ac:dyDescent="0.3">
      <c r="A401" s="29"/>
      <c r="B401" s="10"/>
      <c r="C401" s="226" t="s">
        <v>53</v>
      </c>
      <c r="D401" s="226"/>
      <c r="E401" s="10"/>
      <c r="F401" s="226" t="s">
        <v>54</v>
      </c>
      <c r="G401" s="226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7"/>
      <c r="D403" s="227"/>
      <c r="E403" s="10"/>
      <c r="F403" s="227"/>
      <c r="G403" s="227"/>
    </row>
    <row r="404" spans="1:7" ht="18.75" x14ac:dyDescent="0.3">
      <c r="A404" s="29"/>
      <c r="B404" s="10"/>
      <c r="C404" s="226" t="s">
        <v>53</v>
      </c>
      <c r="D404" s="226"/>
      <c r="E404" s="10"/>
      <c r="F404" s="226" t="s">
        <v>54</v>
      </c>
      <c r="G404" s="226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5" t="s">
        <v>44</v>
      </c>
      <c r="B406" s="225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8"/>
  <sheetViews>
    <sheetView view="pageBreakPreview" topLeftCell="A40" zoomScale="60" zoomScaleNormal="100" workbookViewId="0">
      <selection activeCell="C61" sqref="C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40" t="s">
        <v>266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75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47"/>
    </row>
    <row r="6" spans="1:9" ht="126.75" thickBot="1" x14ac:dyDescent="0.3">
      <c r="A6" s="233"/>
      <c r="B6" s="235"/>
      <c r="C6" s="237"/>
      <c r="D6" s="235"/>
      <c r="E6" s="117" t="s">
        <v>3</v>
      </c>
      <c r="F6" s="117" t="s">
        <v>4</v>
      </c>
      <c r="G6" s="235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5" si="0">E9+F9</f>
        <v>0</v>
      </c>
      <c r="E9" s="5">
        <f>E10+E8-E25+E104</f>
        <v>0</v>
      </c>
      <c r="F9" s="5">
        <f>F10+F8-F25+F104</f>
        <v>0</v>
      </c>
      <c r="G9" s="5">
        <f t="shared" ref="G9" si="1">H9+I9</f>
        <v>0</v>
      </c>
      <c r="H9" s="5">
        <f>H10+H8-H25+H104</f>
        <v>0</v>
      </c>
      <c r="I9" s="31">
        <f>I10+I8-I25+I104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E27+E91</f>
        <v>0</v>
      </c>
      <c r="F25" s="2">
        <f>F27+F91</f>
        <v>0</v>
      </c>
      <c r="G25" s="5">
        <f t="shared" si="2"/>
        <v>0</v>
      </c>
      <c r="H25" s="2">
        <f>H27+H91</f>
        <v>0</v>
      </c>
      <c r="I25" s="4">
        <f>I27+I91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E29+E37+E62+E70</f>
        <v>0</v>
      </c>
      <c r="F27" s="2">
        <f>F29+F37+F62+F70</f>
        <v>0</v>
      </c>
      <c r="G27" s="5">
        <f t="shared" ref="G27" si="3">H27+I27</f>
        <v>0</v>
      </c>
      <c r="H27" s="2">
        <f>H29+H37+H62+H70</f>
        <v>0</v>
      </c>
      <c r="I27" s="4">
        <f>I29+I37+I62+I70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50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50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E39+E40+E43+E50+E51+E54+E61</f>
        <v>0</v>
      </c>
      <c r="F37" s="2">
        <f>F39+F40+F43+F50+F51+F54+F61</f>
        <v>0</v>
      </c>
      <c r="G37" s="5">
        <f t="shared" ref="G37" si="7">H37+I37</f>
        <v>0</v>
      </c>
      <c r="H37" s="2">
        <f>H39+H40+H43+H50+H51+H54+H61</f>
        <v>0</v>
      </c>
      <c r="I37" s="4">
        <f>I39+I40+I43+I50+I51+I54+I61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1" si="15">H52+I52</f>
        <v>0</v>
      </c>
      <c r="H52" s="2"/>
      <c r="I52" s="4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41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42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42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42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42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243"/>
      <c r="B60" s="221">
        <v>323</v>
      </c>
      <c r="C60" s="221">
        <v>226</v>
      </c>
      <c r="D60" s="5"/>
      <c r="E60" s="2"/>
      <c r="F60" s="2"/>
      <c r="G60" s="5"/>
      <c r="H60" s="2"/>
      <c r="I60" s="4"/>
    </row>
    <row r="61" spans="1:9" ht="18.75" x14ac:dyDescent="0.25">
      <c r="A61" s="115" t="s">
        <v>25</v>
      </c>
      <c r="B61" s="119">
        <v>244</v>
      </c>
      <c r="C61" s="119">
        <v>227</v>
      </c>
      <c r="D61" s="5">
        <f t="shared" si="0"/>
        <v>0</v>
      </c>
      <c r="E61" s="2"/>
      <c r="F61" s="2"/>
      <c r="G61" s="5">
        <f t="shared" si="15"/>
        <v>0</v>
      </c>
      <c r="H61" s="2"/>
      <c r="I61" s="4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 t="shared" si="0"/>
        <v>0</v>
      </c>
      <c r="E62" s="2">
        <f>E64+E65+E69</f>
        <v>0</v>
      </c>
      <c r="F62" s="2">
        <f>F64+F65+F69</f>
        <v>0</v>
      </c>
      <c r="G62" s="5">
        <f t="shared" si="15"/>
        <v>0</v>
      </c>
      <c r="H62" s="2">
        <f>H64+H65+H69</f>
        <v>0</v>
      </c>
      <c r="I62" s="4">
        <f>I64+I65+I69</f>
        <v>0</v>
      </c>
    </row>
    <row r="63" spans="1:9" ht="93.75" x14ac:dyDescent="0.25">
      <c r="A63" s="212" t="s">
        <v>479</v>
      </c>
      <c r="B63" s="213">
        <v>323</v>
      </c>
      <c r="C63" s="213">
        <v>263</v>
      </c>
      <c r="D63" s="5"/>
      <c r="E63" s="2"/>
      <c r="F63" s="2"/>
      <c r="G63" s="5"/>
      <c r="H63" s="2"/>
      <c r="I63" s="4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 t="shared" si="0"/>
        <v>0</v>
      </c>
      <c r="E64" s="2"/>
      <c r="F64" s="2"/>
      <c r="G64" s="5">
        <f t="shared" si="15"/>
        <v>0</v>
      </c>
      <c r="H64" s="2"/>
      <c r="I64" s="4"/>
    </row>
    <row r="65" spans="1:9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0</v>
      </c>
      <c r="E65" s="2">
        <f t="shared" ref="E65:F65" si="16">E66+E67</f>
        <v>0</v>
      </c>
      <c r="F65" s="2">
        <f t="shared" si="16"/>
        <v>0</v>
      </c>
      <c r="G65" s="5">
        <f t="shared" si="15"/>
        <v>0</v>
      </c>
      <c r="H65" s="2">
        <f t="shared" ref="H65:I65" si="17">H66+H67</f>
        <v>0</v>
      </c>
      <c r="I65" s="4">
        <f t="shared" si="17"/>
        <v>0</v>
      </c>
    </row>
    <row r="66" spans="1:9" ht="18.75" x14ac:dyDescent="0.25">
      <c r="A66" s="224" t="s">
        <v>6</v>
      </c>
      <c r="B66" s="119">
        <v>111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24"/>
      <c r="B67" s="119">
        <v>112</v>
      </c>
      <c r="C67" s="119">
        <v>266</v>
      </c>
      <c r="D67" s="5">
        <f t="shared" si="0"/>
        <v>0</v>
      </c>
      <c r="E67" s="2"/>
      <c r="F67" s="2"/>
      <c r="G67" s="5">
        <f t="shared" si="15"/>
        <v>0</v>
      </c>
      <c r="H67" s="2"/>
      <c r="I67" s="4"/>
    </row>
    <row r="68" spans="1:9" ht="18.75" x14ac:dyDescent="0.25">
      <c r="A68" s="212"/>
      <c r="B68" s="213">
        <v>119</v>
      </c>
      <c r="C68" s="213">
        <v>266</v>
      </c>
      <c r="D68" s="5"/>
      <c r="E68" s="2"/>
      <c r="F68" s="2"/>
      <c r="G68" s="5"/>
      <c r="H68" s="2"/>
      <c r="I68" s="4"/>
    </row>
    <row r="69" spans="1:9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/>
      <c r="F69" s="2"/>
      <c r="G69" s="5">
        <f t="shared" si="15"/>
        <v>0</v>
      </c>
      <c r="H69" s="2"/>
      <c r="I69" s="4"/>
    </row>
    <row r="70" spans="1:9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0</v>
      </c>
      <c r="E70" s="2">
        <f>E72+E76+E77+E78+E79+E86</f>
        <v>0</v>
      </c>
      <c r="F70" s="2">
        <f>F72+F76+F77+F78+F79+F86</f>
        <v>0</v>
      </c>
      <c r="G70" s="5">
        <f t="shared" si="15"/>
        <v>0</v>
      </c>
      <c r="H70" s="2">
        <f>H72+H76+H77+H78+H79+H86</f>
        <v>0</v>
      </c>
      <c r="I70" s="4">
        <f>I72+I76+I77+I78+I79+I86</f>
        <v>0</v>
      </c>
    </row>
    <row r="71" spans="1:9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15"/>
        <v>0</v>
      </c>
      <c r="H71" s="2"/>
      <c r="I71" s="4"/>
    </row>
    <row r="72" spans="1:9" ht="37.5" x14ac:dyDescent="0.25">
      <c r="A72" s="115" t="s">
        <v>31</v>
      </c>
      <c r="B72" s="119" t="s">
        <v>5</v>
      </c>
      <c r="C72" s="119">
        <v>291</v>
      </c>
      <c r="D72" s="5">
        <f t="shared" si="0"/>
        <v>0</v>
      </c>
      <c r="E72" s="2">
        <f t="shared" ref="E72:F72" si="18">E73+E74+E75</f>
        <v>0</v>
      </c>
      <c r="F72" s="2">
        <f t="shared" si="18"/>
        <v>0</v>
      </c>
      <c r="G72" s="5">
        <f t="shared" si="15"/>
        <v>0</v>
      </c>
      <c r="H72" s="2">
        <f t="shared" ref="H72:I72" si="19">H73+H74+H75</f>
        <v>0</v>
      </c>
      <c r="I72" s="4">
        <f t="shared" si="19"/>
        <v>0</v>
      </c>
    </row>
    <row r="73" spans="1:9" ht="18.75" x14ac:dyDescent="0.25">
      <c r="A73" s="224" t="s">
        <v>6</v>
      </c>
      <c r="B73" s="119">
        <v>851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4"/>
      <c r="B74" s="119">
        <v>852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8.75" x14ac:dyDescent="0.25">
      <c r="A75" s="224"/>
      <c r="B75" s="119">
        <v>853</v>
      </c>
      <c r="C75" s="119">
        <v>291</v>
      </c>
      <c r="D75" s="5">
        <f t="shared" si="0"/>
        <v>0</v>
      </c>
      <c r="E75" s="2"/>
      <c r="F75" s="2"/>
      <c r="G75" s="5">
        <f t="shared" si="15"/>
        <v>0</v>
      </c>
      <c r="H75" s="2"/>
      <c r="I75" s="4"/>
    </row>
    <row r="76" spans="1:9" ht="112.5" x14ac:dyDescent="0.25">
      <c r="A76" s="115" t="s">
        <v>32</v>
      </c>
      <c r="B76" s="119">
        <v>853</v>
      </c>
      <c r="C76" s="119">
        <v>292</v>
      </c>
      <c r="D76" s="5">
        <f t="shared" ref="D76:D108" si="20">E76+F76</f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131.25" x14ac:dyDescent="0.25">
      <c r="A77" s="115" t="s">
        <v>33</v>
      </c>
      <c r="B77" s="119">
        <v>853</v>
      </c>
      <c r="C77" s="119">
        <v>293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158</v>
      </c>
      <c r="B78" s="119">
        <v>853</v>
      </c>
      <c r="C78" s="119">
        <v>295</v>
      </c>
      <c r="D78" s="5">
        <f t="shared" si="20"/>
        <v>0</v>
      </c>
      <c r="E78" s="2"/>
      <c r="F78" s="2">
        <v>0</v>
      </c>
      <c r="G78" s="5">
        <f t="shared" si="15"/>
        <v>0</v>
      </c>
      <c r="H78" s="2"/>
      <c r="I78" s="4">
        <v>0</v>
      </c>
    </row>
    <row r="79" spans="1:9" ht="56.25" x14ac:dyDescent="0.25">
      <c r="A79" s="115" t="s">
        <v>34</v>
      </c>
      <c r="B79" s="119" t="s">
        <v>5</v>
      </c>
      <c r="C79" s="119">
        <v>296</v>
      </c>
      <c r="D79" s="5">
        <f t="shared" si="20"/>
        <v>0</v>
      </c>
      <c r="E79" s="2">
        <f t="shared" ref="E79:F79" si="21">E80+E81+E82+E83+E85</f>
        <v>0</v>
      </c>
      <c r="F79" s="2">
        <f t="shared" si="21"/>
        <v>0</v>
      </c>
      <c r="G79" s="5">
        <f t="shared" si="15"/>
        <v>0</v>
      </c>
      <c r="H79" s="2">
        <f t="shared" ref="H79:I79" si="22">H80+H81+H82+H83+H85</f>
        <v>0</v>
      </c>
      <c r="I79" s="4">
        <f t="shared" si="22"/>
        <v>0</v>
      </c>
    </row>
    <row r="80" spans="1:9" ht="18.75" x14ac:dyDescent="0.25">
      <c r="A80" s="224" t="s">
        <v>6</v>
      </c>
      <c r="B80" s="119">
        <v>244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4"/>
      <c r="B81" s="119">
        <v>340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4"/>
      <c r="B82" s="119">
        <v>350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4"/>
      <c r="B83" s="119">
        <v>360</v>
      </c>
      <c r="C83" s="119">
        <v>296</v>
      </c>
      <c r="D83" s="5">
        <f t="shared" si="20"/>
        <v>0</v>
      </c>
      <c r="E83" s="2"/>
      <c r="F83" s="2"/>
      <c r="G83" s="5">
        <f t="shared" si="15"/>
        <v>0</v>
      </c>
      <c r="H83" s="2"/>
      <c r="I83" s="4"/>
    </row>
    <row r="84" spans="1:9" ht="18.75" x14ac:dyDescent="0.25">
      <c r="A84" s="224"/>
      <c r="B84" s="208">
        <v>831</v>
      </c>
      <c r="C84" s="208">
        <v>296</v>
      </c>
      <c r="D84" s="5">
        <f t="shared" ref="D84" si="23">E84+F84</f>
        <v>0</v>
      </c>
      <c r="E84" s="2"/>
      <c r="F84" s="2"/>
      <c r="G84" s="5">
        <f t="shared" ref="G84" si="24">H84+I84</f>
        <v>0</v>
      </c>
      <c r="H84" s="2"/>
      <c r="I84" s="4"/>
    </row>
    <row r="85" spans="1:9" ht="18.75" x14ac:dyDescent="0.25">
      <c r="A85" s="224"/>
      <c r="B85" s="119">
        <v>853</v>
      </c>
      <c r="C85" s="119">
        <v>296</v>
      </c>
      <c r="D85" s="5">
        <f t="shared" si="20"/>
        <v>0</v>
      </c>
      <c r="E85" s="2"/>
      <c r="F85" s="2"/>
      <c r="G85" s="5">
        <f t="shared" si="15"/>
        <v>0</v>
      </c>
      <c r="H85" s="2"/>
      <c r="I85" s="4"/>
    </row>
    <row r="86" spans="1:9" ht="62.45" customHeight="1" x14ac:dyDescent="0.25">
      <c r="A86" s="115" t="s">
        <v>35</v>
      </c>
      <c r="B86" s="119" t="s">
        <v>5</v>
      </c>
      <c r="C86" s="119">
        <v>297</v>
      </c>
      <c r="D86" s="5">
        <f t="shared" si="20"/>
        <v>0</v>
      </c>
      <c r="E86" s="2">
        <f>E87+E90</f>
        <v>0</v>
      </c>
      <c r="F86" s="2">
        <f>F87+F90</f>
        <v>0</v>
      </c>
      <c r="G86" s="5">
        <f t="shared" si="15"/>
        <v>0</v>
      </c>
      <c r="H86" s="2">
        <f>H87+H90</f>
        <v>0</v>
      </c>
      <c r="I86" s="4">
        <f>I87+I90</f>
        <v>0</v>
      </c>
    </row>
    <row r="87" spans="1:9" ht="18.75" x14ac:dyDescent="0.25">
      <c r="A87" s="224" t="s">
        <v>6</v>
      </c>
      <c r="B87" s="119">
        <v>244</v>
      </c>
      <c r="C87" s="119">
        <v>297</v>
      </c>
      <c r="D87" s="5">
        <f t="shared" si="20"/>
        <v>0</v>
      </c>
      <c r="E87" s="2"/>
      <c r="F87" s="2"/>
      <c r="G87" s="5">
        <f t="shared" si="15"/>
        <v>0</v>
      </c>
      <c r="H87" s="2"/>
      <c r="I87" s="4"/>
    </row>
    <row r="88" spans="1:9" ht="18.75" x14ac:dyDescent="0.25">
      <c r="A88" s="224"/>
      <c r="B88" s="210">
        <v>613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24"/>
      <c r="B89" s="210">
        <v>831</v>
      </c>
      <c r="C89" s="210">
        <v>297</v>
      </c>
      <c r="D89" s="5"/>
      <c r="E89" s="2"/>
      <c r="F89" s="2"/>
      <c r="G89" s="5"/>
      <c r="H89" s="2"/>
      <c r="I89" s="4"/>
    </row>
    <row r="90" spans="1:9" ht="18.75" x14ac:dyDescent="0.25">
      <c r="A90" s="224"/>
      <c r="B90" s="119">
        <v>853</v>
      </c>
      <c r="C90" s="119">
        <v>297</v>
      </c>
      <c r="D90" s="5">
        <f t="shared" si="20"/>
        <v>0</v>
      </c>
      <c r="E90" s="2"/>
      <c r="F90" s="2"/>
      <c r="G90" s="5">
        <f t="shared" si="15"/>
        <v>0</v>
      </c>
      <c r="H90" s="2"/>
      <c r="I90" s="4"/>
    </row>
    <row r="91" spans="1:9" ht="56.25" x14ac:dyDescent="0.25">
      <c r="A91" s="115" t="s">
        <v>59</v>
      </c>
      <c r="B91" s="119" t="s">
        <v>5</v>
      </c>
      <c r="C91" s="119">
        <v>300</v>
      </c>
      <c r="D91" s="5">
        <f t="shared" si="20"/>
        <v>0</v>
      </c>
      <c r="E91" s="2">
        <f>E93+E95+E94</f>
        <v>0</v>
      </c>
      <c r="F91" s="2">
        <f>F93+F95+F94</f>
        <v>0</v>
      </c>
      <c r="G91" s="5">
        <f t="shared" si="15"/>
        <v>0</v>
      </c>
      <c r="H91" s="2">
        <f>H93+H95+H94</f>
        <v>0</v>
      </c>
      <c r="I91" s="4">
        <f>I93+I95+I94</f>
        <v>0</v>
      </c>
    </row>
    <row r="92" spans="1:9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4"/>
    </row>
    <row r="93" spans="1:9" ht="56.25" x14ac:dyDescent="0.25">
      <c r="A93" s="115" t="s">
        <v>36</v>
      </c>
      <c r="B93" s="119">
        <v>244</v>
      </c>
      <c r="C93" s="119">
        <v>310</v>
      </c>
      <c r="D93" s="5">
        <f t="shared" si="20"/>
        <v>0</v>
      </c>
      <c r="E93" s="2"/>
      <c r="F93" s="2"/>
      <c r="G93" s="5">
        <f t="shared" ref="G93:G95" si="25">H93+I93</f>
        <v>0</v>
      </c>
      <c r="H93" s="2"/>
      <c r="I93" s="4"/>
    </row>
    <row r="94" spans="1:9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/>
      <c r="F94" s="2"/>
      <c r="G94" s="5">
        <f t="shared" si="25"/>
        <v>0</v>
      </c>
      <c r="H94" s="2"/>
      <c r="I94" s="4"/>
    </row>
    <row r="95" spans="1:9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E97+E98+E99+E100+E101+E102+E103</f>
        <v>0</v>
      </c>
      <c r="F95" s="2">
        <f>F97+F98+F99+F100+F101+F102+F103</f>
        <v>0</v>
      </c>
      <c r="G95" s="5">
        <f t="shared" si="25"/>
        <v>0</v>
      </c>
      <c r="H95" s="2">
        <f>H97+H98+H99+H100+H101+H102+H103</f>
        <v>0</v>
      </c>
      <c r="I95" s="4">
        <f>I97+I98+I99+I100+I101+I102+I103</f>
        <v>0</v>
      </c>
    </row>
    <row r="96" spans="1:9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4"/>
    </row>
    <row r="97" spans="1:9" ht="131.25" x14ac:dyDescent="0.25">
      <c r="A97" s="115" t="s">
        <v>37</v>
      </c>
      <c r="B97" s="119">
        <v>244</v>
      </c>
      <c r="C97" s="119">
        <v>341</v>
      </c>
      <c r="D97" s="5">
        <f t="shared" si="20"/>
        <v>0</v>
      </c>
      <c r="E97" s="2"/>
      <c r="F97" s="2"/>
      <c r="G97" s="5">
        <f t="shared" ref="G97:G104" si="26">H97+I97</f>
        <v>0</v>
      </c>
      <c r="H97" s="2"/>
      <c r="I97" s="4"/>
    </row>
    <row r="98" spans="1:9" ht="56.25" x14ac:dyDescent="0.25">
      <c r="A98" s="115" t="s">
        <v>38</v>
      </c>
      <c r="B98" s="119">
        <v>244</v>
      </c>
      <c r="C98" s="119">
        <v>342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39</v>
      </c>
      <c r="B99" s="119">
        <v>244</v>
      </c>
      <c r="C99" s="119">
        <v>343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75" x14ac:dyDescent="0.25">
      <c r="A100" s="115" t="s">
        <v>40</v>
      </c>
      <c r="B100" s="119">
        <v>244</v>
      </c>
      <c r="C100" s="119">
        <v>344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56.25" x14ac:dyDescent="0.25">
      <c r="A101" s="115" t="s">
        <v>41</v>
      </c>
      <c r="B101" s="119">
        <v>244</v>
      </c>
      <c r="C101" s="119">
        <v>345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75" x14ac:dyDescent="0.25">
      <c r="A102" s="115" t="s">
        <v>42</v>
      </c>
      <c r="B102" s="119">
        <v>244</v>
      </c>
      <c r="C102" s="119">
        <v>346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112.5" x14ac:dyDescent="0.25">
      <c r="A103" s="115" t="s">
        <v>43</v>
      </c>
      <c r="B103" s="119">
        <v>244</v>
      </c>
      <c r="C103" s="119">
        <v>349</v>
      </c>
      <c r="D103" s="5">
        <f t="shared" si="20"/>
        <v>0</v>
      </c>
      <c r="E103" s="2"/>
      <c r="F103" s="2"/>
      <c r="G103" s="5">
        <f t="shared" si="26"/>
        <v>0</v>
      </c>
      <c r="H103" s="2"/>
      <c r="I103" s="4"/>
    </row>
    <row r="104" spans="1:9" ht="56.25" x14ac:dyDescent="0.25">
      <c r="A104" s="115" t="s">
        <v>67</v>
      </c>
      <c r="B104" s="119" t="s">
        <v>5</v>
      </c>
      <c r="C104" s="119" t="s">
        <v>5</v>
      </c>
      <c r="D104" s="5">
        <f t="shared" si="20"/>
        <v>0</v>
      </c>
      <c r="E104" s="2">
        <f t="shared" ref="E104:F104" si="27">E106+E107+E108</f>
        <v>0</v>
      </c>
      <c r="F104" s="2">
        <f t="shared" si="27"/>
        <v>0</v>
      </c>
      <c r="G104" s="5">
        <f t="shared" si="26"/>
        <v>0</v>
      </c>
      <c r="H104" s="2">
        <f t="shared" ref="H104:I104" si="28">H106+H107+H108</f>
        <v>0</v>
      </c>
      <c r="I104" s="4">
        <f t="shared" si="28"/>
        <v>0</v>
      </c>
    </row>
    <row r="105" spans="1:9" ht="18.75" x14ac:dyDescent="0.25">
      <c r="A105" s="115" t="s">
        <v>6</v>
      </c>
      <c r="B105" s="119"/>
      <c r="C105" s="119"/>
      <c r="D105" s="5"/>
      <c r="E105" s="2"/>
      <c r="F105" s="2"/>
      <c r="G105" s="5"/>
      <c r="H105" s="2"/>
      <c r="I105" s="4"/>
    </row>
    <row r="106" spans="1:9" ht="18.75" x14ac:dyDescent="0.25">
      <c r="A106" s="115" t="s">
        <v>194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ref="G106:G108" si="29">H106+I106</f>
        <v>0</v>
      </c>
      <c r="H106" s="2"/>
      <c r="I106" s="4"/>
    </row>
    <row r="107" spans="1:9" ht="56.25" x14ac:dyDescent="0.25">
      <c r="A107" s="115" t="s">
        <v>195</v>
      </c>
      <c r="B107" s="119">
        <v>180</v>
      </c>
      <c r="C107" s="119" t="s">
        <v>5</v>
      </c>
      <c r="D107" s="5">
        <f t="shared" si="20"/>
        <v>0</v>
      </c>
      <c r="E107" s="2"/>
      <c r="F107" s="2"/>
      <c r="G107" s="5">
        <f t="shared" si="29"/>
        <v>0</v>
      </c>
      <c r="H107" s="2"/>
      <c r="I107" s="4"/>
    </row>
    <row r="108" spans="1:9" ht="57" thickBot="1" x14ac:dyDescent="0.3">
      <c r="A108" s="32" t="s">
        <v>196</v>
      </c>
      <c r="B108" s="33">
        <v>180</v>
      </c>
      <c r="C108" s="33" t="s">
        <v>5</v>
      </c>
      <c r="D108" s="34">
        <f t="shared" si="20"/>
        <v>0</v>
      </c>
      <c r="E108" s="35"/>
      <c r="F108" s="35"/>
      <c r="G108" s="34">
        <f t="shared" si="29"/>
        <v>0</v>
      </c>
      <c r="H108" s="35"/>
      <c r="I108" s="100"/>
    </row>
    <row r="109" spans="1:9" ht="18.75" x14ac:dyDescent="0.25">
      <c r="A109" s="15"/>
      <c r="B109" s="19"/>
      <c r="C109" s="19"/>
      <c r="D109" s="36"/>
      <c r="E109" s="36"/>
      <c r="F109" s="36"/>
    </row>
    <row r="110" spans="1:9" x14ac:dyDescent="0.25">
      <c r="A110" s="11"/>
    </row>
    <row r="111" spans="1:9" ht="37.5" x14ac:dyDescent="0.3">
      <c r="A111" s="29" t="s">
        <v>52</v>
      </c>
      <c r="B111" s="227"/>
      <c r="C111" s="227"/>
      <c r="D111" s="10"/>
      <c r="E111" s="227"/>
      <c r="F111" s="227"/>
    </row>
    <row r="112" spans="1:9" ht="18.75" x14ac:dyDescent="0.3">
      <c r="A112" s="29"/>
      <c r="B112" s="226" t="s">
        <v>53</v>
      </c>
      <c r="C112" s="226"/>
      <c r="D112" s="10"/>
      <c r="E112" s="226" t="s">
        <v>54</v>
      </c>
      <c r="F112" s="226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37.5" x14ac:dyDescent="0.3">
      <c r="A114" s="29" t="s">
        <v>55</v>
      </c>
      <c r="B114" s="227"/>
      <c r="C114" s="227"/>
      <c r="D114" s="10"/>
      <c r="E114" s="227"/>
      <c r="F114" s="227"/>
    </row>
    <row r="115" spans="1:16" ht="18.75" x14ac:dyDescent="0.3">
      <c r="A115" s="29"/>
      <c r="B115" s="226" t="s">
        <v>53</v>
      </c>
      <c r="C115" s="226"/>
      <c r="D115" s="10"/>
      <c r="E115" s="226" t="s">
        <v>54</v>
      </c>
      <c r="F115" s="226"/>
    </row>
    <row r="116" spans="1:16" ht="18.75" x14ac:dyDescent="0.3">
      <c r="A116" s="29"/>
      <c r="B116" s="116"/>
      <c r="C116" s="116"/>
      <c r="D116" s="10"/>
      <c r="E116" s="116"/>
      <c r="F116" s="116"/>
    </row>
    <row r="117" spans="1:16" ht="18.75" x14ac:dyDescent="0.3">
      <c r="A117" s="29" t="s">
        <v>56</v>
      </c>
      <c r="B117" s="227"/>
      <c r="C117" s="227"/>
      <c r="D117" s="10"/>
      <c r="E117" s="227"/>
      <c r="F117" s="227"/>
    </row>
    <row r="118" spans="1:16" ht="18.75" x14ac:dyDescent="0.3">
      <c r="A118" s="29"/>
      <c r="B118" s="226" t="s">
        <v>53</v>
      </c>
      <c r="C118" s="226"/>
      <c r="D118" s="10"/>
      <c r="E118" s="226" t="s">
        <v>54</v>
      </c>
      <c r="F118" s="226"/>
    </row>
    <row r="119" spans="1:16" ht="18.75" x14ac:dyDescent="0.3">
      <c r="A119" s="29" t="s">
        <v>57</v>
      </c>
      <c r="B119" s="10"/>
      <c r="C119" s="10"/>
      <c r="D119" s="10"/>
      <c r="E119" s="10"/>
      <c r="F119" s="10"/>
    </row>
    <row r="120" spans="1:16" ht="18.75" x14ac:dyDescent="0.3">
      <c r="A120" s="225" t="s">
        <v>44</v>
      </c>
      <c r="B120" s="225"/>
      <c r="C120" s="10"/>
      <c r="D120" s="10"/>
      <c r="E120" s="10"/>
      <c r="F120" s="10"/>
    </row>
    <row r="121" spans="1:16" ht="18.75" x14ac:dyDescent="0.25">
      <c r="A121" s="325" t="s">
        <v>192</v>
      </c>
      <c r="B121" s="325"/>
      <c r="C121" s="325"/>
      <c r="D121" s="325"/>
      <c r="E121" s="325"/>
      <c r="F121" s="325"/>
      <c r="G121" s="325"/>
      <c r="H121" s="325"/>
      <c r="I121" s="325"/>
      <c r="K121" s="324" t="s">
        <v>233</v>
      </c>
      <c r="L121" s="324"/>
      <c r="M121" s="324"/>
      <c r="N121" s="324" t="s">
        <v>234</v>
      </c>
      <c r="O121" s="324"/>
      <c r="P121" s="324"/>
    </row>
    <row r="122" spans="1:16" ht="60" x14ac:dyDescent="0.25">
      <c r="A122" s="83" t="s">
        <v>236</v>
      </c>
      <c r="B122" s="85" t="s">
        <v>5</v>
      </c>
      <c r="C122" s="85" t="s">
        <v>5</v>
      </c>
      <c r="D122" s="5">
        <f t="shared" ref="D122:D123" si="30">E122+F122</f>
        <v>0</v>
      </c>
      <c r="E122" s="2"/>
      <c r="F122" s="4"/>
      <c r="G122" s="5">
        <f t="shared" ref="G122:G123" si="31">H122+I122</f>
        <v>0</v>
      </c>
      <c r="H122" s="2"/>
      <c r="I122" s="4"/>
      <c r="J122" s="36"/>
      <c r="K122" s="71" t="s">
        <v>230</v>
      </c>
      <c r="L122" s="71" t="s">
        <v>231</v>
      </c>
      <c r="M122" s="71" t="s">
        <v>232</v>
      </c>
      <c r="N122" s="71" t="s">
        <v>230</v>
      </c>
      <c r="O122" s="71" t="s">
        <v>231</v>
      </c>
      <c r="P122" s="71" t="s">
        <v>232</v>
      </c>
    </row>
    <row r="123" spans="1:16" ht="18.75" x14ac:dyDescent="0.25">
      <c r="A123" s="83" t="s">
        <v>7</v>
      </c>
      <c r="B123" s="85" t="s">
        <v>5</v>
      </c>
      <c r="C123" s="85">
        <v>900</v>
      </c>
      <c r="D123" s="5">
        <f t="shared" si="30"/>
        <v>0</v>
      </c>
      <c r="E123" s="2">
        <f>E126+E154+E168+E196</f>
        <v>0</v>
      </c>
      <c r="F123" s="2">
        <f>F126+F154</f>
        <v>0</v>
      </c>
      <c r="G123" s="5">
        <f t="shared" si="31"/>
        <v>0</v>
      </c>
      <c r="H123" s="2">
        <f>H126+H154+H168+H196</f>
        <v>0</v>
      </c>
      <c r="I123" s="2">
        <f>I126+I154</f>
        <v>0</v>
      </c>
      <c r="J123" s="36"/>
      <c r="K123" s="72">
        <f>E31+E32+E33+E35+E41+E55+E56+E57+E64+E66+E67+E69+E73+E74+E75+E76+E77+E78+E81+E82+E83+E85+E90</f>
        <v>0</v>
      </c>
      <c r="L123" s="72">
        <f>K123+D123</f>
        <v>0</v>
      </c>
      <c r="M123" s="72">
        <f>L123-E25</f>
        <v>0</v>
      </c>
      <c r="N123" s="72">
        <f>H31+H32+H33+H35+H41+H55+H56+H57+H64+H66+H67+H69+H73+H74+H75+H76+H77+H78+H81+H82+H83+H85+H90</f>
        <v>0</v>
      </c>
      <c r="O123" s="72">
        <f>N123+G123</f>
        <v>0</v>
      </c>
      <c r="P123" s="72">
        <f>O123-H25</f>
        <v>0</v>
      </c>
    </row>
    <row r="124" spans="1:16" ht="18.75" x14ac:dyDescent="0.25">
      <c r="A124" s="83" t="s">
        <v>6</v>
      </c>
      <c r="B124" s="85"/>
      <c r="C124" s="85"/>
      <c r="D124" s="5"/>
      <c r="E124" s="2"/>
      <c r="F124" s="4"/>
      <c r="G124" s="5"/>
      <c r="H124" s="2"/>
      <c r="I124" s="4"/>
      <c r="J124" s="36"/>
      <c r="K124" s="36"/>
      <c r="L124" s="36"/>
    </row>
    <row r="125" spans="1:16" ht="17.45" customHeight="1" x14ac:dyDescent="0.25">
      <c r="A125" s="326" t="s">
        <v>200</v>
      </c>
      <c r="B125" s="327"/>
      <c r="C125" s="327"/>
      <c r="D125" s="327"/>
      <c r="E125" s="327"/>
      <c r="F125" s="327"/>
      <c r="G125" s="327"/>
      <c r="H125" s="327"/>
      <c r="I125" s="327"/>
      <c r="J125" s="76"/>
      <c r="K125" s="76"/>
      <c r="L125" s="76"/>
    </row>
    <row r="126" spans="1:16" ht="18.75" x14ac:dyDescent="0.25">
      <c r="A126" s="83" t="s">
        <v>8</v>
      </c>
      <c r="B126" s="85" t="s">
        <v>5</v>
      </c>
      <c r="C126" s="85">
        <v>200</v>
      </c>
      <c r="D126" s="5">
        <f t="shared" ref="D126:D158" si="32">E126+F126</f>
        <v>0</v>
      </c>
      <c r="E126" s="2">
        <f>E128+E131+E150</f>
        <v>0</v>
      </c>
      <c r="F126" s="2">
        <f>F128+F131+F150</f>
        <v>0</v>
      </c>
      <c r="G126" s="5">
        <f t="shared" ref="G126" si="33">H126+I126</f>
        <v>0</v>
      </c>
      <c r="H126" s="2">
        <f>H128+H131+H150</f>
        <v>0</v>
      </c>
      <c r="I126" s="2">
        <f>I128+I131+I150</f>
        <v>0</v>
      </c>
      <c r="J126" s="36"/>
      <c r="K126" s="36"/>
      <c r="L126" s="36"/>
    </row>
    <row r="127" spans="1:16" ht="18.75" x14ac:dyDescent="0.25">
      <c r="A127" s="83" t="s">
        <v>9</v>
      </c>
      <c r="B127" s="85"/>
      <c r="C127" s="85"/>
      <c r="D127" s="5"/>
      <c r="E127" s="2"/>
      <c r="F127" s="2"/>
      <c r="G127" s="5"/>
      <c r="H127" s="2"/>
      <c r="I127" s="2"/>
      <c r="J127" s="36"/>
      <c r="K127" s="36"/>
      <c r="L127" s="36"/>
    </row>
    <row r="128" spans="1:16" ht="75" x14ac:dyDescent="0.25">
      <c r="A128" s="83" t="s">
        <v>10</v>
      </c>
      <c r="B128" s="85" t="s">
        <v>5</v>
      </c>
      <c r="C128" s="85">
        <v>210</v>
      </c>
      <c r="D128" s="5">
        <f t="shared" si="32"/>
        <v>0</v>
      </c>
      <c r="E128" s="2">
        <f>E130</f>
        <v>0</v>
      </c>
      <c r="F128" s="2">
        <f>F130</f>
        <v>0</v>
      </c>
      <c r="G128" s="5">
        <f t="shared" ref="G128" si="34">H128+I128</f>
        <v>0</v>
      </c>
      <c r="H128" s="2">
        <f>H130</f>
        <v>0</v>
      </c>
      <c r="I128" s="2">
        <f>I130</f>
        <v>0</v>
      </c>
      <c r="J128" s="36"/>
      <c r="K128" s="36"/>
      <c r="L128" s="36"/>
    </row>
    <row r="129" spans="1:12" ht="18.75" x14ac:dyDescent="0.25">
      <c r="A129" s="83" t="s">
        <v>9</v>
      </c>
      <c r="B129" s="85"/>
      <c r="C129" s="85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93.75" x14ac:dyDescent="0.25">
      <c r="A130" s="83" t="s">
        <v>201</v>
      </c>
      <c r="B130" s="85">
        <v>244</v>
      </c>
      <c r="C130" s="85">
        <v>214</v>
      </c>
      <c r="D130" s="5">
        <f>E130+F130</f>
        <v>0</v>
      </c>
      <c r="E130" s="2"/>
      <c r="F130" s="2"/>
      <c r="G130" s="5">
        <f>H130+I130</f>
        <v>0</v>
      </c>
      <c r="H130" s="2"/>
      <c r="I130" s="2"/>
      <c r="J130" s="36"/>
      <c r="K130" s="36"/>
      <c r="L130" s="36"/>
    </row>
    <row r="131" spans="1:12" ht="37.5" x14ac:dyDescent="0.25">
      <c r="A131" s="83" t="s">
        <v>14</v>
      </c>
      <c r="B131" s="85" t="s">
        <v>5</v>
      </c>
      <c r="C131" s="85">
        <v>220</v>
      </c>
      <c r="D131" s="5">
        <f t="shared" si="32"/>
        <v>0</v>
      </c>
      <c r="E131" s="2">
        <f>E133+E134+E135+E142+E143+E146+E149</f>
        <v>0</v>
      </c>
      <c r="F131" s="2">
        <f>F133+F134+F135+F142+F143+F146+F149</f>
        <v>0</v>
      </c>
      <c r="G131" s="5">
        <f t="shared" ref="G131" si="35">H131+I131</f>
        <v>0</v>
      </c>
      <c r="H131" s="2">
        <f>H133+H134+H135+H142+H143+H146+H149</f>
        <v>0</v>
      </c>
      <c r="I131" s="2">
        <f>I133+I134+I135+I142+I143+I146+I149</f>
        <v>0</v>
      </c>
      <c r="J131" s="36"/>
      <c r="K131" s="36"/>
      <c r="L131" s="36"/>
    </row>
    <row r="132" spans="1:12" ht="18.75" x14ac:dyDescent="0.25">
      <c r="A132" s="83" t="s">
        <v>9</v>
      </c>
      <c r="B132" s="85"/>
      <c r="C132" s="85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18.75" x14ac:dyDescent="0.25">
      <c r="A133" s="83" t="s">
        <v>15</v>
      </c>
      <c r="B133" s="85">
        <v>244</v>
      </c>
      <c r="C133" s="85">
        <v>221</v>
      </c>
      <c r="D133" s="5">
        <f t="shared" si="32"/>
        <v>0</v>
      </c>
      <c r="E133" s="2"/>
      <c r="F133" s="2"/>
      <c r="G133" s="5">
        <f t="shared" ref="G133:G135" si="36">H133+I133</f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16</v>
      </c>
      <c r="B134" s="85">
        <v>244</v>
      </c>
      <c r="C134" s="85">
        <v>222</v>
      </c>
      <c r="D134" s="5">
        <f t="shared" si="32"/>
        <v>0</v>
      </c>
      <c r="E134" s="2"/>
      <c r="F134" s="2"/>
      <c r="G134" s="5">
        <f t="shared" si="36"/>
        <v>0</v>
      </c>
      <c r="H134" s="2"/>
      <c r="I134" s="2"/>
      <c r="J134" s="36"/>
      <c r="K134" s="36"/>
      <c r="L134" s="36"/>
    </row>
    <row r="135" spans="1:12" ht="37.5" x14ac:dyDescent="0.25">
      <c r="A135" s="83" t="s">
        <v>17</v>
      </c>
      <c r="B135" s="85" t="s">
        <v>5</v>
      </c>
      <c r="C135" s="85">
        <v>223</v>
      </c>
      <c r="D135" s="5">
        <f t="shared" si="32"/>
        <v>0</v>
      </c>
      <c r="E135" s="2">
        <f t="shared" ref="E135:F135" si="37">E137+E138+E139+E140+E141</f>
        <v>0</v>
      </c>
      <c r="F135" s="2">
        <f t="shared" si="37"/>
        <v>0</v>
      </c>
      <c r="G135" s="5">
        <f t="shared" si="36"/>
        <v>0</v>
      </c>
      <c r="H135" s="2">
        <f t="shared" ref="H135:I135" si="38">H137+H138+H139+H140+H141</f>
        <v>0</v>
      </c>
      <c r="I135" s="2">
        <f t="shared" si="38"/>
        <v>0</v>
      </c>
      <c r="J135" s="36"/>
      <c r="K135" s="36"/>
      <c r="L135" s="36"/>
    </row>
    <row r="136" spans="1:12" ht="18.75" x14ac:dyDescent="0.25">
      <c r="A136" s="83" t="s">
        <v>6</v>
      </c>
      <c r="B136" s="85"/>
      <c r="C136" s="85"/>
      <c r="D136" s="5"/>
      <c r="E136" s="2"/>
      <c r="F136" s="2"/>
      <c r="G136" s="5"/>
      <c r="H136" s="2"/>
      <c r="I136" s="2"/>
      <c r="J136" s="36"/>
      <c r="K136" s="36"/>
      <c r="L136" s="36"/>
    </row>
    <row r="137" spans="1:12" ht="56.25" x14ac:dyDescent="0.25">
      <c r="A137" s="83" t="s">
        <v>18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ref="G137:G142" si="39">H137+I137</f>
        <v>0</v>
      </c>
      <c r="H137" s="2"/>
      <c r="I137" s="2"/>
      <c r="J137" s="36"/>
      <c r="K137" s="36"/>
      <c r="L137" s="36"/>
    </row>
    <row r="138" spans="1:12" ht="37.5" x14ac:dyDescent="0.25">
      <c r="A138" s="83" t="s">
        <v>19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20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75" x14ac:dyDescent="0.25">
      <c r="A140" s="83" t="s">
        <v>21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56.25" x14ac:dyDescent="0.25">
      <c r="A141" s="83" t="s">
        <v>22</v>
      </c>
      <c r="B141" s="85">
        <v>244</v>
      </c>
      <c r="C141" s="85">
        <v>223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168.75" x14ac:dyDescent="0.25">
      <c r="A142" s="83" t="s">
        <v>23</v>
      </c>
      <c r="B142" s="85">
        <v>244</v>
      </c>
      <c r="C142" s="85">
        <v>224</v>
      </c>
      <c r="D142" s="5">
        <f t="shared" si="32"/>
        <v>0</v>
      </c>
      <c r="E142" s="2"/>
      <c r="F142" s="2"/>
      <c r="G142" s="5">
        <f t="shared" si="39"/>
        <v>0</v>
      </c>
      <c r="H142" s="2"/>
      <c r="I142" s="2"/>
      <c r="J142" s="36"/>
      <c r="K142" s="36"/>
      <c r="L142" s="36"/>
    </row>
    <row r="143" spans="1:12" ht="56.25" x14ac:dyDescent="0.25">
      <c r="A143" s="83" t="s">
        <v>24</v>
      </c>
      <c r="B143" s="85" t="s">
        <v>5</v>
      </c>
      <c r="C143" s="85">
        <v>225</v>
      </c>
      <c r="D143" s="2">
        <f t="shared" ref="D143:G143" si="40">D144+D145</f>
        <v>0</v>
      </c>
      <c r="E143" s="2">
        <f>E144+E145</f>
        <v>0</v>
      </c>
      <c r="F143" s="2">
        <f t="shared" si="40"/>
        <v>0</v>
      </c>
      <c r="G143" s="2">
        <f t="shared" si="40"/>
        <v>0</v>
      </c>
      <c r="H143" s="2">
        <f>H144+H145</f>
        <v>0</v>
      </c>
      <c r="I143" s="2">
        <f t="shared" ref="I143" si="41">I144+I145</f>
        <v>0</v>
      </c>
      <c r="J143" s="36"/>
      <c r="K143" s="36"/>
      <c r="L143" s="36"/>
    </row>
    <row r="144" spans="1:12" ht="18.75" x14ac:dyDescent="0.25">
      <c r="A144" s="224" t="s">
        <v>6</v>
      </c>
      <c r="B144" s="85">
        <v>243</v>
      </c>
      <c r="C144" s="85">
        <v>225</v>
      </c>
      <c r="D144" s="5">
        <f t="shared" si="32"/>
        <v>0</v>
      </c>
      <c r="E144" s="2"/>
      <c r="F144" s="2"/>
      <c r="G144" s="5">
        <f t="shared" ref="G144:G154" si="42">H144+I144</f>
        <v>0</v>
      </c>
      <c r="H144" s="2"/>
      <c r="I144" s="2"/>
      <c r="J144" s="36"/>
      <c r="K144" s="36"/>
      <c r="L144" s="36"/>
    </row>
    <row r="145" spans="1:12" ht="18.75" x14ac:dyDescent="0.25">
      <c r="A145" s="224"/>
      <c r="B145" s="85">
        <v>244</v>
      </c>
      <c r="C145" s="85">
        <v>225</v>
      </c>
      <c r="D145" s="5">
        <f t="shared" si="32"/>
        <v>0</v>
      </c>
      <c r="E145" s="2"/>
      <c r="F145" s="2"/>
      <c r="G145" s="5">
        <f t="shared" si="42"/>
        <v>0</v>
      </c>
      <c r="H145" s="2"/>
      <c r="I145" s="2"/>
      <c r="J145" s="36"/>
      <c r="K145" s="36"/>
      <c r="L145" s="36"/>
    </row>
    <row r="146" spans="1:12" ht="37.5" x14ac:dyDescent="0.25">
      <c r="A146" s="83" t="s">
        <v>58</v>
      </c>
      <c r="B146" s="85" t="s">
        <v>5</v>
      </c>
      <c r="C146" s="85">
        <v>226</v>
      </c>
      <c r="D146" s="5">
        <f t="shared" si="32"/>
        <v>0</v>
      </c>
      <c r="E146" s="2">
        <f>E147+E148</f>
        <v>0</v>
      </c>
      <c r="F146" s="2">
        <f>F147+F148</f>
        <v>0</v>
      </c>
      <c r="G146" s="5">
        <f t="shared" si="42"/>
        <v>0</v>
      </c>
      <c r="H146" s="2">
        <f>H147+H148</f>
        <v>0</v>
      </c>
      <c r="I146" s="2">
        <f>I147+I148</f>
        <v>0</v>
      </c>
      <c r="J146" s="36"/>
      <c r="K146" s="36"/>
      <c r="L146" s="36"/>
    </row>
    <row r="147" spans="1:12" ht="18.75" x14ac:dyDescent="0.25">
      <c r="A147" s="224" t="s">
        <v>6</v>
      </c>
      <c r="B147" s="85">
        <v>243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224"/>
      <c r="B148" s="85">
        <v>244</v>
      </c>
      <c r="C148" s="85">
        <v>226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25</v>
      </c>
      <c r="B149" s="85">
        <v>244</v>
      </c>
      <c r="C149" s="85">
        <v>227</v>
      </c>
      <c r="D149" s="5">
        <f t="shared" si="32"/>
        <v>0</v>
      </c>
      <c r="E149" s="2"/>
      <c r="F149" s="2"/>
      <c r="G149" s="5">
        <f t="shared" si="42"/>
        <v>0</v>
      </c>
      <c r="H149" s="2"/>
      <c r="I149" s="2"/>
      <c r="J149" s="36"/>
      <c r="K149" s="36"/>
      <c r="L149" s="36"/>
    </row>
    <row r="150" spans="1:12" ht="18.75" x14ac:dyDescent="0.25">
      <c r="A150" s="83" t="s">
        <v>30</v>
      </c>
      <c r="B150" s="85" t="s">
        <v>5</v>
      </c>
      <c r="C150" s="85">
        <v>290</v>
      </c>
      <c r="D150" s="5">
        <f t="shared" si="32"/>
        <v>0</v>
      </c>
      <c r="E150" s="2">
        <f>E152+E153</f>
        <v>0</v>
      </c>
      <c r="F150" s="2">
        <f>F152+F153</f>
        <v>0</v>
      </c>
      <c r="G150" s="5">
        <f t="shared" si="42"/>
        <v>0</v>
      </c>
      <c r="H150" s="2">
        <f>H152+H153</f>
        <v>0</v>
      </c>
      <c r="I150" s="2">
        <f>I152+I153</f>
        <v>0</v>
      </c>
      <c r="J150" s="36"/>
      <c r="K150" s="36"/>
      <c r="L150" s="36"/>
    </row>
    <row r="151" spans="1:12" ht="18.75" x14ac:dyDescent="0.25">
      <c r="A151" s="83" t="s">
        <v>9</v>
      </c>
      <c r="B151" s="85"/>
      <c r="C151" s="85"/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34</v>
      </c>
      <c r="B152" s="85">
        <v>244</v>
      </c>
      <c r="C152" s="85">
        <v>296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35</v>
      </c>
      <c r="B153" s="85">
        <v>244</v>
      </c>
      <c r="C153" s="85">
        <v>297</v>
      </c>
      <c r="D153" s="5">
        <f t="shared" si="32"/>
        <v>0</v>
      </c>
      <c r="E153" s="2"/>
      <c r="F153" s="2"/>
      <c r="G153" s="5">
        <f t="shared" si="42"/>
        <v>0</v>
      </c>
      <c r="H153" s="2"/>
      <c r="I153" s="2"/>
      <c r="J153" s="36"/>
      <c r="K153" s="36"/>
      <c r="L153" s="36"/>
    </row>
    <row r="154" spans="1:12" ht="56.25" x14ac:dyDescent="0.25">
      <c r="A154" s="83" t="s">
        <v>59</v>
      </c>
      <c r="B154" s="85" t="s">
        <v>5</v>
      </c>
      <c r="C154" s="85">
        <v>300</v>
      </c>
      <c r="D154" s="5">
        <f t="shared" si="32"/>
        <v>0</v>
      </c>
      <c r="E154" s="2">
        <f>E156+E158+E157</f>
        <v>0</v>
      </c>
      <c r="F154" s="2">
        <f>F156+F158+F157</f>
        <v>0</v>
      </c>
      <c r="G154" s="5">
        <f t="shared" si="42"/>
        <v>0</v>
      </c>
      <c r="H154" s="2">
        <f>H156+H158+H157</f>
        <v>0</v>
      </c>
      <c r="I154" s="2">
        <f>I156+I158+I157</f>
        <v>0</v>
      </c>
      <c r="J154" s="36"/>
      <c r="K154" s="36"/>
      <c r="L154" s="36"/>
    </row>
    <row r="155" spans="1:12" ht="18.75" x14ac:dyDescent="0.25">
      <c r="A155" s="83" t="s">
        <v>9</v>
      </c>
      <c r="B155" s="85"/>
      <c r="C155" s="85"/>
      <c r="D155" s="5"/>
      <c r="E155" s="2"/>
      <c r="F155" s="2"/>
      <c r="G155" s="5"/>
      <c r="H155" s="2"/>
      <c r="I155" s="2"/>
      <c r="J155" s="36"/>
      <c r="K155" s="36"/>
      <c r="L155" s="36"/>
    </row>
    <row r="156" spans="1:12" ht="56.25" x14ac:dyDescent="0.25">
      <c r="A156" s="83" t="s">
        <v>36</v>
      </c>
      <c r="B156" s="85">
        <v>244</v>
      </c>
      <c r="C156" s="85">
        <v>310</v>
      </c>
      <c r="D156" s="5">
        <f t="shared" si="32"/>
        <v>0</v>
      </c>
      <c r="E156" s="2"/>
      <c r="F156" s="2"/>
      <c r="G156" s="5">
        <f t="shared" ref="G156:G158" si="43">H156+I156</f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68</v>
      </c>
      <c r="B157" s="85">
        <v>244</v>
      </c>
      <c r="C157" s="85">
        <v>320</v>
      </c>
      <c r="D157" s="5">
        <f t="shared" si="32"/>
        <v>0</v>
      </c>
      <c r="E157" s="2"/>
      <c r="F157" s="2"/>
      <c r="G157" s="5">
        <f t="shared" si="43"/>
        <v>0</v>
      </c>
      <c r="H157" s="2"/>
      <c r="I157" s="2"/>
      <c r="J157" s="36"/>
      <c r="K157" s="36"/>
      <c r="L157" s="36"/>
    </row>
    <row r="158" spans="1:12" ht="75" x14ac:dyDescent="0.25">
      <c r="A158" s="83" t="s">
        <v>60</v>
      </c>
      <c r="B158" s="85" t="s">
        <v>5</v>
      </c>
      <c r="C158" s="85">
        <v>340</v>
      </c>
      <c r="D158" s="5">
        <f t="shared" si="32"/>
        <v>0</v>
      </c>
      <c r="E158" s="2">
        <f>E160+E161+E162+E163+E164+E165+E166</f>
        <v>0</v>
      </c>
      <c r="F158" s="2">
        <f>F160+F161+F162+F163+F164+F165+F166</f>
        <v>0</v>
      </c>
      <c r="G158" s="5">
        <f t="shared" si="43"/>
        <v>0</v>
      </c>
      <c r="H158" s="2">
        <f>H160+H161+H162+H163+H164+H165+H166</f>
        <v>0</v>
      </c>
      <c r="I158" s="2">
        <f>I160+I161+I162+I163+I164+I165+I166</f>
        <v>0</v>
      </c>
      <c r="J158" s="36"/>
      <c r="K158" s="36"/>
      <c r="L158" s="36"/>
    </row>
    <row r="159" spans="1:12" ht="18.75" x14ac:dyDescent="0.25">
      <c r="A159" s="83" t="s">
        <v>6</v>
      </c>
      <c r="B159" s="85"/>
      <c r="C159" s="85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131.25" x14ac:dyDescent="0.25">
      <c r="A160" s="83" t="s">
        <v>37</v>
      </c>
      <c r="B160" s="85">
        <v>244</v>
      </c>
      <c r="C160" s="85">
        <v>341</v>
      </c>
      <c r="D160" s="5">
        <f t="shared" ref="D160:D166" si="44">E160+F160</f>
        <v>0</v>
      </c>
      <c r="E160" s="2"/>
      <c r="F160" s="2"/>
      <c r="G160" s="5">
        <f t="shared" ref="G160:G166" si="45">H160+I160</f>
        <v>0</v>
      </c>
      <c r="H160" s="2"/>
      <c r="I160" s="2"/>
      <c r="J160" s="36"/>
      <c r="K160" s="36"/>
      <c r="L160" s="36"/>
    </row>
    <row r="161" spans="1:12" ht="56.25" x14ac:dyDescent="0.25">
      <c r="A161" s="83" t="s">
        <v>38</v>
      </c>
      <c r="B161" s="85">
        <v>244</v>
      </c>
      <c r="C161" s="85">
        <v>342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39</v>
      </c>
      <c r="B162" s="85">
        <v>244</v>
      </c>
      <c r="C162" s="85">
        <v>343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75" x14ac:dyDescent="0.25">
      <c r="A163" s="83" t="s">
        <v>40</v>
      </c>
      <c r="B163" s="85">
        <v>244</v>
      </c>
      <c r="C163" s="85">
        <v>344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56.25" x14ac:dyDescent="0.25">
      <c r="A164" s="83" t="s">
        <v>41</v>
      </c>
      <c r="B164" s="85">
        <v>244</v>
      </c>
      <c r="C164" s="85">
        <v>345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75" x14ac:dyDescent="0.25">
      <c r="A165" s="83" t="s">
        <v>42</v>
      </c>
      <c r="B165" s="85">
        <v>244</v>
      </c>
      <c r="C165" s="85">
        <v>346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12.5" x14ac:dyDescent="0.25">
      <c r="A166" s="83" t="s">
        <v>43</v>
      </c>
      <c r="B166" s="85">
        <v>244</v>
      </c>
      <c r="C166" s="85">
        <v>349</v>
      </c>
      <c r="D166" s="5">
        <f t="shared" si="44"/>
        <v>0</v>
      </c>
      <c r="E166" s="2"/>
      <c r="F166" s="2"/>
      <c r="G166" s="5">
        <f t="shared" si="45"/>
        <v>0</v>
      </c>
      <c r="H166" s="2"/>
      <c r="I166" s="2"/>
      <c r="J166" s="36"/>
      <c r="K166" s="36"/>
      <c r="L166" s="36"/>
    </row>
    <row r="167" spans="1:12" ht="17.45" customHeight="1" x14ac:dyDescent="0.25">
      <c r="A167" s="326" t="s">
        <v>202</v>
      </c>
      <c r="B167" s="327"/>
      <c r="C167" s="327"/>
      <c r="D167" s="327"/>
      <c r="E167" s="327"/>
      <c r="F167" s="327"/>
      <c r="G167" s="327"/>
      <c r="H167" s="327"/>
      <c r="I167" s="327"/>
      <c r="J167" s="76"/>
      <c r="K167" s="76"/>
      <c r="L167" s="76"/>
    </row>
    <row r="168" spans="1:12" ht="18.75" x14ac:dyDescent="0.25">
      <c r="A168" s="83" t="s">
        <v>8</v>
      </c>
      <c r="B168" s="85" t="s">
        <v>5</v>
      </c>
      <c r="C168" s="85">
        <v>200</v>
      </c>
      <c r="D168" s="5">
        <f t="shared" ref="D168" si="46">E168+F168</f>
        <v>0</v>
      </c>
      <c r="E168" s="2">
        <f>E170+E173+E192</f>
        <v>0</v>
      </c>
      <c r="F168" s="2">
        <f>F170+F173+F192</f>
        <v>0</v>
      </c>
      <c r="G168" s="5">
        <f t="shared" ref="G168" si="47">H168+I168</f>
        <v>0</v>
      </c>
      <c r="H168" s="2">
        <f>H170+H173+H192</f>
        <v>0</v>
      </c>
      <c r="I168" s="2">
        <f>I170+I173+I192</f>
        <v>0</v>
      </c>
      <c r="J168" s="36"/>
      <c r="K168" s="36"/>
      <c r="L168" s="36"/>
    </row>
    <row r="169" spans="1:12" ht="18.75" x14ac:dyDescent="0.25">
      <c r="A169" s="83" t="s">
        <v>9</v>
      </c>
      <c r="B169" s="85"/>
      <c r="C169" s="85"/>
      <c r="D169" s="5"/>
      <c r="E169" s="2"/>
      <c r="F169" s="2"/>
      <c r="G169" s="5"/>
      <c r="H169" s="2"/>
      <c r="I169" s="2"/>
      <c r="J169" s="36"/>
      <c r="K169" s="36"/>
      <c r="L169" s="36"/>
    </row>
    <row r="170" spans="1:12" ht="75" x14ac:dyDescent="0.25">
      <c r="A170" s="83" t="s">
        <v>10</v>
      </c>
      <c r="B170" s="85" t="s">
        <v>5</v>
      </c>
      <c r="C170" s="85">
        <v>210</v>
      </c>
      <c r="D170" s="5">
        <f t="shared" ref="D170" si="48">E170+F170</f>
        <v>0</v>
      </c>
      <c r="E170" s="2">
        <f>E172</f>
        <v>0</v>
      </c>
      <c r="F170" s="2">
        <f>F172</f>
        <v>0</v>
      </c>
      <c r="G170" s="5">
        <f t="shared" ref="G170" si="49">H170+I170</f>
        <v>0</v>
      </c>
      <c r="H170" s="2">
        <f>H172</f>
        <v>0</v>
      </c>
      <c r="I170" s="2">
        <f>I172</f>
        <v>0</v>
      </c>
      <c r="J170" s="36"/>
      <c r="K170" s="36"/>
      <c r="L170" s="36"/>
    </row>
    <row r="171" spans="1:12" ht="18.75" x14ac:dyDescent="0.25">
      <c r="A171" s="83" t="s">
        <v>9</v>
      </c>
      <c r="B171" s="85"/>
      <c r="C171" s="85"/>
      <c r="D171" s="5"/>
      <c r="E171" s="2"/>
      <c r="F171" s="2"/>
      <c r="G171" s="5"/>
      <c r="H171" s="2"/>
      <c r="I171" s="2"/>
      <c r="J171" s="36"/>
      <c r="K171" s="36"/>
      <c r="L171" s="36"/>
    </row>
    <row r="172" spans="1:12" ht="93.75" x14ac:dyDescent="0.25">
      <c r="A172" s="83" t="s">
        <v>201</v>
      </c>
      <c r="B172" s="85">
        <v>244</v>
      </c>
      <c r="C172" s="85">
        <v>214</v>
      </c>
      <c r="D172" s="5">
        <f>E172+F172</f>
        <v>0</v>
      </c>
      <c r="E172" s="70">
        <f>E36-E130</f>
        <v>0</v>
      </c>
      <c r="F172" s="2"/>
      <c r="G172" s="5">
        <f>H172+I172</f>
        <v>0</v>
      </c>
      <c r="H172" s="70">
        <f>H36-H130</f>
        <v>0</v>
      </c>
      <c r="I172" s="2"/>
      <c r="J172" s="36"/>
      <c r="K172" s="36"/>
      <c r="L172" s="36"/>
    </row>
    <row r="173" spans="1:12" ht="37.5" x14ac:dyDescent="0.25">
      <c r="A173" s="83" t="s">
        <v>14</v>
      </c>
      <c r="B173" s="85" t="s">
        <v>5</v>
      </c>
      <c r="C173" s="85">
        <v>220</v>
      </c>
      <c r="D173" s="5">
        <f t="shared" ref="D173" si="50">E173+F173</f>
        <v>0</v>
      </c>
      <c r="E173" s="2">
        <f>E175+E176+E177+E184+E185+E188+E191</f>
        <v>0</v>
      </c>
      <c r="F173" s="2">
        <f>F175+F176+F177+F184+F185+F188+F191</f>
        <v>0</v>
      </c>
      <c r="G173" s="5">
        <f t="shared" ref="G173" si="51">H173+I173</f>
        <v>0</v>
      </c>
      <c r="H173" s="2">
        <f>H175+H176+H177+H184+H185+H188+H191</f>
        <v>0</v>
      </c>
      <c r="I173" s="2">
        <f>I175+I176+I177+I184+I185+I188+I191</f>
        <v>0</v>
      </c>
      <c r="J173" s="36"/>
      <c r="K173" s="36"/>
      <c r="L173" s="36"/>
    </row>
    <row r="174" spans="1:12" ht="18.75" x14ac:dyDescent="0.25">
      <c r="A174" s="83" t="s">
        <v>9</v>
      </c>
      <c r="B174" s="85"/>
      <c r="C174" s="85"/>
      <c r="D174" s="5"/>
      <c r="E174" s="2"/>
      <c r="F174" s="2"/>
      <c r="G174" s="5"/>
      <c r="H174" s="2"/>
      <c r="I174" s="2"/>
      <c r="J174" s="36"/>
      <c r="K174" s="36"/>
      <c r="L174" s="36"/>
    </row>
    <row r="175" spans="1:12" ht="18.75" x14ac:dyDescent="0.25">
      <c r="A175" s="83" t="s">
        <v>15</v>
      </c>
      <c r="B175" s="85">
        <v>244</v>
      </c>
      <c r="C175" s="85">
        <v>221</v>
      </c>
      <c r="D175" s="5">
        <f t="shared" ref="D175:D177" si="52">E175+F175</f>
        <v>0</v>
      </c>
      <c r="E175" s="2">
        <f>E39-E133</f>
        <v>0</v>
      </c>
      <c r="F175" s="2"/>
      <c r="G175" s="5">
        <f t="shared" ref="G175:G177" si="53">H175+I175</f>
        <v>0</v>
      </c>
      <c r="H175" s="2">
        <f>H39-H133</f>
        <v>0</v>
      </c>
      <c r="I175" s="2"/>
      <c r="J175" s="36"/>
      <c r="K175" s="36"/>
      <c r="L175" s="36"/>
    </row>
    <row r="176" spans="1:12" ht="37.5" x14ac:dyDescent="0.25">
      <c r="A176" s="83" t="s">
        <v>16</v>
      </c>
      <c r="B176" s="85">
        <v>244</v>
      </c>
      <c r="C176" s="85">
        <v>222</v>
      </c>
      <c r="D176" s="5">
        <f t="shared" si="52"/>
        <v>0</v>
      </c>
      <c r="E176" s="70">
        <f>E42-E134</f>
        <v>0</v>
      </c>
      <c r="F176" s="2"/>
      <c r="G176" s="5">
        <f t="shared" si="53"/>
        <v>0</v>
      </c>
      <c r="H176" s="70">
        <f>H42-H134</f>
        <v>0</v>
      </c>
      <c r="I176" s="2"/>
      <c r="J176" s="36"/>
      <c r="K176" s="36"/>
      <c r="L176" s="36"/>
    </row>
    <row r="177" spans="1:12" ht="37.5" x14ac:dyDescent="0.25">
      <c r="A177" s="83" t="s">
        <v>17</v>
      </c>
      <c r="B177" s="85" t="s">
        <v>5</v>
      </c>
      <c r="C177" s="85">
        <v>223</v>
      </c>
      <c r="D177" s="5">
        <f t="shared" si="52"/>
        <v>0</v>
      </c>
      <c r="E177" s="2">
        <f t="shared" ref="E177:F177" si="54">E179+E180+E181+E182+E183</f>
        <v>0</v>
      </c>
      <c r="F177" s="2">
        <f t="shared" si="54"/>
        <v>0</v>
      </c>
      <c r="G177" s="5">
        <f t="shared" si="53"/>
        <v>0</v>
      </c>
      <c r="H177" s="2">
        <f t="shared" ref="H177:I177" si="55">H179+H180+H181+H182+H183</f>
        <v>0</v>
      </c>
      <c r="I177" s="2">
        <f t="shared" si="55"/>
        <v>0</v>
      </c>
      <c r="J177" s="36"/>
      <c r="K177" s="36"/>
      <c r="L177" s="36"/>
    </row>
    <row r="178" spans="1:12" ht="18.75" x14ac:dyDescent="0.25">
      <c r="A178" s="83" t="s">
        <v>6</v>
      </c>
      <c r="B178" s="85"/>
      <c r="C178" s="85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56.25" x14ac:dyDescent="0.25">
      <c r="A179" s="83" t="s">
        <v>18</v>
      </c>
      <c r="B179" s="85">
        <v>244</v>
      </c>
      <c r="C179" s="85">
        <v>223</v>
      </c>
      <c r="D179" s="5">
        <f t="shared" ref="D179:D184" si="56">E179+F179</f>
        <v>0</v>
      </c>
      <c r="E179" s="2">
        <f t="shared" ref="E179:E184" si="57">E45-E137</f>
        <v>0</v>
      </c>
      <c r="F179" s="2"/>
      <c r="G179" s="5">
        <f t="shared" ref="G179:G184" si="58">H179+I179</f>
        <v>0</v>
      </c>
      <c r="H179" s="2">
        <f t="shared" ref="H179:H184" si="59">H45-H137</f>
        <v>0</v>
      </c>
      <c r="I179" s="2"/>
      <c r="J179" s="36"/>
      <c r="K179" s="36"/>
      <c r="L179" s="36"/>
    </row>
    <row r="180" spans="1:12" ht="37.5" x14ac:dyDescent="0.25">
      <c r="A180" s="83" t="s">
        <v>19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20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75" x14ac:dyDescent="0.25">
      <c r="A182" s="83" t="s">
        <v>21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56.25" x14ac:dyDescent="0.25">
      <c r="A183" s="83" t="s">
        <v>22</v>
      </c>
      <c r="B183" s="85">
        <v>244</v>
      </c>
      <c r="C183" s="85">
        <v>223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168.75" x14ac:dyDescent="0.25">
      <c r="A184" s="83" t="s">
        <v>23</v>
      </c>
      <c r="B184" s="85">
        <v>244</v>
      </c>
      <c r="C184" s="85">
        <v>224</v>
      </c>
      <c r="D184" s="5">
        <f t="shared" si="56"/>
        <v>0</v>
      </c>
      <c r="E184" s="2">
        <f t="shared" si="57"/>
        <v>0</v>
      </c>
      <c r="F184" s="2"/>
      <c r="G184" s="5">
        <f t="shared" si="58"/>
        <v>0</v>
      </c>
      <c r="H184" s="2">
        <f t="shared" si="59"/>
        <v>0</v>
      </c>
      <c r="I184" s="2"/>
      <c r="J184" s="36"/>
      <c r="K184" s="36"/>
      <c r="L184" s="36"/>
    </row>
    <row r="185" spans="1:12" ht="56.25" x14ac:dyDescent="0.25">
      <c r="A185" s="83" t="s">
        <v>24</v>
      </c>
      <c r="B185" s="85" t="s">
        <v>5</v>
      </c>
      <c r="C185" s="85">
        <v>225</v>
      </c>
      <c r="D185" s="2">
        <f t="shared" ref="D185" si="60">D186+D187</f>
        <v>0</v>
      </c>
      <c r="E185" s="2">
        <f>E186+E187</f>
        <v>0</v>
      </c>
      <c r="F185" s="2">
        <f t="shared" ref="F185:G185" si="61">F186+F187</f>
        <v>0</v>
      </c>
      <c r="G185" s="2">
        <f t="shared" si="61"/>
        <v>0</v>
      </c>
      <c r="H185" s="2">
        <f>H186+H187</f>
        <v>0</v>
      </c>
      <c r="I185" s="2">
        <f t="shared" ref="I185" si="62">I186+I187</f>
        <v>0</v>
      </c>
      <c r="J185" s="36"/>
      <c r="K185" s="36"/>
      <c r="L185" s="36"/>
    </row>
    <row r="186" spans="1:12" ht="18.75" x14ac:dyDescent="0.25">
      <c r="A186" s="224" t="s">
        <v>6</v>
      </c>
      <c r="B186" s="85">
        <v>243</v>
      </c>
      <c r="C186" s="85">
        <v>225</v>
      </c>
      <c r="D186" s="5">
        <f t="shared" ref="D186:D196" si="63">E186+F186</f>
        <v>0</v>
      </c>
      <c r="E186" s="2">
        <f>E52-E144</f>
        <v>0</v>
      </c>
      <c r="F186" s="2"/>
      <c r="G186" s="5">
        <f t="shared" ref="G186:G196" si="64">H186+I186</f>
        <v>0</v>
      </c>
      <c r="H186" s="2">
        <f>H52-H144</f>
        <v>0</v>
      </c>
      <c r="I186" s="2"/>
      <c r="J186" s="36"/>
      <c r="K186" s="36"/>
      <c r="L186" s="36"/>
    </row>
    <row r="187" spans="1:12" ht="18.75" x14ac:dyDescent="0.25">
      <c r="A187" s="224"/>
      <c r="B187" s="85">
        <v>244</v>
      </c>
      <c r="C187" s="85">
        <v>225</v>
      </c>
      <c r="D187" s="5">
        <f t="shared" si="63"/>
        <v>0</v>
      </c>
      <c r="E187" s="2">
        <f>E53-E145</f>
        <v>0</v>
      </c>
      <c r="F187" s="2"/>
      <c r="G187" s="5">
        <f t="shared" si="64"/>
        <v>0</v>
      </c>
      <c r="H187" s="2">
        <f>H53-H145</f>
        <v>0</v>
      </c>
      <c r="I187" s="2"/>
      <c r="J187" s="36"/>
      <c r="K187" s="36"/>
      <c r="L187" s="36"/>
    </row>
    <row r="188" spans="1:12" ht="37.5" x14ac:dyDescent="0.25">
      <c r="A188" s="83" t="s">
        <v>58</v>
      </c>
      <c r="B188" s="85" t="s">
        <v>5</v>
      </c>
      <c r="C188" s="85">
        <v>226</v>
      </c>
      <c r="D188" s="5">
        <f t="shared" si="63"/>
        <v>0</v>
      </c>
      <c r="E188" s="2">
        <f>E189+E190</f>
        <v>0</v>
      </c>
      <c r="F188" s="2">
        <f>F189+F190</f>
        <v>0</v>
      </c>
      <c r="G188" s="5">
        <f t="shared" si="64"/>
        <v>0</v>
      </c>
      <c r="H188" s="2">
        <f>H189+H190</f>
        <v>0</v>
      </c>
      <c r="I188" s="2">
        <f>I189+I190</f>
        <v>0</v>
      </c>
      <c r="J188" s="36"/>
      <c r="K188" s="36"/>
      <c r="L188" s="36"/>
    </row>
    <row r="189" spans="1:12" ht="18.75" x14ac:dyDescent="0.25">
      <c r="A189" s="224" t="s">
        <v>6</v>
      </c>
      <c r="B189" s="85">
        <v>243</v>
      </c>
      <c r="C189" s="85">
        <v>226</v>
      </c>
      <c r="D189" s="5">
        <f t="shared" si="63"/>
        <v>0</v>
      </c>
      <c r="E189" s="2">
        <f>E58-E147</f>
        <v>0</v>
      </c>
      <c r="F189" s="2"/>
      <c r="G189" s="5">
        <f t="shared" si="64"/>
        <v>0</v>
      </c>
      <c r="H189" s="2">
        <f>H58-H147</f>
        <v>0</v>
      </c>
      <c r="I189" s="2"/>
      <c r="J189" s="36"/>
      <c r="K189" s="36"/>
      <c r="L189" s="36"/>
    </row>
    <row r="190" spans="1:12" ht="18.75" x14ac:dyDescent="0.25">
      <c r="A190" s="224"/>
      <c r="B190" s="85">
        <v>244</v>
      </c>
      <c r="C190" s="85">
        <v>226</v>
      </c>
      <c r="D190" s="5">
        <f t="shared" si="63"/>
        <v>0</v>
      </c>
      <c r="E190" s="2">
        <f>E59-E148</f>
        <v>0</v>
      </c>
      <c r="F190" s="2"/>
      <c r="G190" s="5">
        <f t="shared" si="64"/>
        <v>0</v>
      </c>
      <c r="H190" s="2">
        <f>H59-H148</f>
        <v>0</v>
      </c>
      <c r="I190" s="2"/>
      <c r="J190" s="36"/>
      <c r="K190" s="36"/>
      <c r="L190" s="36"/>
    </row>
    <row r="191" spans="1:12" ht="18.75" x14ac:dyDescent="0.25">
      <c r="A191" s="83" t="s">
        <v>25</v>
      </c>
      <c r="B191" s="85">
        <v>244</v>
      </c>
      <c r="C191" s="85">
        <v>227</v>
      </c>
      <c r="D191" s="5">
        <f t="shared" si="63"/>
        <v>0</v>
      </c>
      <c r="E191" s="2">
        <f>E61-E149</f>
        <v>0</v>
      </c>
      <c r="F191" s="2"/>
      <c r="G191" s="5">
        <f t="shared" si="64"/>
        <v>0</v>
      </c>
      <c r="H191" s="2">
        <f>H61-H149</f>
        <v>0</v>
      </c>
      <c r="I191" s="2"/>
      <c r="J191" s="36"/>
      <c r="K191" s="36"/>
      <c r="L191" s="36"/>
    </row>
    <row r="192" spans="1:12" ht="18.75" x14ac:dyDescent="0.25">
      <c r="A192" s="83" t="s">
        <v>30</v>
      </c>
      <c r="B192" s="85" t="s">
        <v>5</v>
      </c>
      <c r="C192" s="85">
        <v>290</v>
      </c>
      <c r="D192" s="5">
        <f t="shared" si="63"/>
        <v>0</v>
      </c>
      <c r="E192" s="2">
        <f>E194+E195</f>
        <v>0</v>
      </c>
      <c r="F192" s="2">
        <f>F194+F195</f>
        <v>0</v>
      </c>
      <c r="G192" s="5">
        <f t="shared" si="64"/>
        <v>0</v>
      </c>
      <c r="H192" s="2">
        <f>H194+H195</f>
        <v>0</v>
      </c>
      <c r="I192" s="2">
        <f>I194+I195</f>
        <v>0</v>
      </c>
      <c r="J192" s="36"/>
      <c r="K192" s="36"/>
      <c r="L192" s="36"/>
    </row>
    <row r="193" spans="1:12" ht="18.75" x14ac:dyDescent="0.25">
      <c r="A193" s="83" t="s">
        <v>9</v>
      </c>
      <c r="B193" s="85"/>
      <c r="C193" s="85"/>
      <c r="D193" s="5">
        <f t="shared" si="63"/>
        <v>0</v>
      </c>
      <c r="E193" s="2"/>
      <c r="F193" s="2"/>
      <c r="G193" s="5">
        <f t="shared" si="64"/>
        <v>0</v>
      </c>
      <c r="H193" s="2"/>
      <c r="I193" s="2"/>
      <c r="J193" s="36"/>
      <c r="K193" s="36"/>
      <c r="L193" s="36"/>
    </row>
    <row r="194" spans="1:12" ht="56.25" x14ac:dyDescent="0.25">
      <c r="A194" s="83" t="s">
        <v>34</v>
      </c>
      <c r="B194" s="85">
        <v>244</v>
      </c>
      <c r="C194" s="85">
        <v>296</v>
      </c>
      <c r="D194" s="5">
        <f t="shared" si="63"/>
        <v>0</v>
      </c>
      <c r="E194" s="2">
        <f>E80-E152</f>
        <v>0</v>
      </c>
      <c r="F194" s="2"/>
      <c r="G194" s="5">
        <f t="shared" si="64"/>
        <v>0</v>
      </c>
      <c r="H194" s="2">
        <f>H80-H152</f>
        <v>0</v>
      </c>
      <c r="I194" s="2"/>
      <c r="J194" s="36"/>
      <c r="K194" s="36"/>
      <c r="L194" s="36"/>
    </row>
    <row r="195" spans="1:12" ht="56.25" x14ac:dyDescent="0.25">
      <c r="A195" s="83" t="s">
        <v>35</v>
      </c>
      <c r="B195" s="85">
        <v>244</v>
      </c>
      <c r="C195" s="85">
        <v>297</v>
      </c>
      <c r="D195" s="5">
        <f t="shared" si="63"/>
        <v>0</v>
      </c>
      <c r="E195" s="2">
        <f>E87-E153</f>
        <v>0</v>
      </c>
      <c r="F195" s="2"/>
      <c r="G195" s="5">
        <f t="shared" si="64"/>
        <v>0</v>
      </c>
      <c r="H195" s="2">
        <f>H87-H153</f>
        <v>0</v>
      </c>
      <c r="I195" s="2"/>
      <c r="J195" s="36"/>
      <c r="K195" s="36"/>
      <c r="L195" s="36"/>
    </row>
    <row r="196" spans="1:12" ht="56.25" x14ac:dyDescent="0.25">
      <c r="A196" s="83" t="s">
        <v>59</v>
      </c>
      <c r="B196" s="85" t="s">
        <v>5</v>
      </c>
      <c r="C196" s="85">
        <v>300</v>
      </c>
      <c r="D196" s="5">
        <f t="shared" si="63"/>
        <v>0</v>
      </c>
      <c r="E196" s="2">
        <f>E198+E200+E199</f>
        <v>0</v>
      </c>
      <c r="F196" s="2">
        <f>F198+F200+F199</f>
        <v>0</v>
      </c>
      <c r="G196" s="5">
        <f t="shared" si="64"/>
        <v>0</v>
      </c>
      <c r="H196" s="2">
        <f>H198+H200+H199</f>
        <v>0</v>
      </c>
      <c r="I196" s="2">
        <f>I198+I200+I199</f>
        <v>0</v>
      </c>
      <c r="J196" s="36"/>
      <c r="K196" s="36"/>
      <c r="L196" s="36"/>
    </row>
    <row r="197" spans="1:12" ht="18.75" x14ac:dyDescent="0.25">
      <c r="A197" s="83" t="s">
        <v>9</v>
      </c>
      <c r="B197" s="85"/>
      <c r="C197" s="85"/>
      <c r="D197" s="5"/>
      <c r="E197" s="2"/>
      <c r="F197" s="2"/>
      <c r="G197" s="5"/>
      <c r="H197" s="2"/>
      <c r="I197" s="2"/>
      <c r="J197" s="36"/>
      <c r="K197" s="36"/>
      <c r="L197" s="36"/>
    </row>
    <row r="198" spans="1:12" ht="56.25" x14ac:dyDescent="0.25">
      <c r="A198" s="83" t="s">
        <v>36</v>
      </c>
      <c r="B198" s="85">
        <v>244</v>
      </c>
      <c r="C198" s="85">
        <v>310</v>
      </c>
      <c r="D198" s="5">
        <f t="shared" ref="D198:D200" si="65">E198+F198</f>
        <v>0</v>
      </c>
      <c r="E198" s="2">
        <f>E93-E156</f>
        <v>0</v>
      </c>
      <c r="F198" s="2"/>
      <c r="G198" s="5">
        <f t="shared" ref="G198:G200" si="66">H198+I198</f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68</v>
      </c>
      <c r="B199" s="85">
        <v>244</v>
      </c>
      <c r="C199" s="85">
        <v>320</v>
      </c>
      <c r="D199" s="5">
        <f t="shared" si="65"/>
        <v>0</v>
      </c>
      <c r="E199" s="2">
        <f>E94-E157</f>
        <v>0</v>
      </c>
      <c r="F199" s="2"/>
      <c r="G199" s="5">
        <f t="shared" si="66"/>
        <v>0</v>
      </c>
      <c r="H199" s="2">
        <f>H94-H157</f>
        <v>0</v>
      </c>
      <c r="I199" s="2"/>
      <c r="J199" s="36"/>
      <c r="K199" s="36"/>
      <c r="L199" s="36"/>
    </row>
    <row r="200" spans="1:12" ht="75" x14ac:dyDescent="0.25">
      <c r="A200" s="83" t="s">
        <v>60</v>
      </c>
      <c r="B200" s="85" t="s">
        <v>5</v>
      </c>
      <c r="C200" s="85">
        <v>340</v>
      </c>
      <c r="D200" s="5">
        <f t="shared" si="65"/>
        <v>0</v>
      </c>
      <c r="E200" s="2">
        <f>E202+E203+E204+E205+E206+E207+E208</f>
        <v>0</v>
      </c>
      <c r="F200" s="2">
        <f>F202+F203+F204+F205+F206+F207+F208</f>
        <v>0</v>
      </c>
      <c r="G200" s="5">
        <f t="shared" si="66"/>
        <v>0</v>
      </c>
      <c r="H200" s="2">
        <f>H202+H203+H204+H205+H206+H207+H208</f>
        <v>0</v>
      </c>
      <c r="I200" s="2">
        <f>I202+I203+I204+I205+I206+I207+I208</f>
        <v>0</v>
      </c>
      <c r="J200" s="36"/>
      <c r="K200" s="36"/>
      <c r="L200" s="36"/>
    </row>
    <row r="201" spans="1:12" ht="18.75" x14ac:dyDescent="0.25">
      <c r="A201" s="83" t="s">
        <v>6</v>
      </c>
      <c r="B201" s="85"/>
      <c r="C201" s="85"/>
      <c r="D201" s="5"/>
      <c r="E201" s="2"/>
      <c r="F201" s="2"/>
      <c r="G201" s="5"/>
      <c r="H201" s="2"/>
      <c r="I201" s="2"/>
      <c r="J201" s="36"/>
      <c r="K201" s="36"/>
      <c r="L201" s="36"/>
    </row>
    <row r="202" spans="1:12" ht="131.25" x14ac:dyDescent="0.25">
      <c r="A202" s="83" t="s">
        <v>37</v>
      </c>
      <c r="B202" s="85">
        <v>244</v>
      </c>
      <c r="C202" s="85">
        <v>341</v>
      </c>
      <c r="D202" s="5">
        <f t="shared" ref="D202:D208" si="67">E202+F202</f>
        <v>0</v>
      </c>
      <c r="E202" s="2">
        <f>E97-E160</f>
        <v>0</v>
      </c>
      <c r="F202" s="2"/>
      <c r="G202" s="5">
        <f t="shared" ref="G202:G208" si="68">H202+I202</f>
        <v>0</v>
      </c>
      <c r="H202" s="2">
        <f>H97-H160</f>
        <v>0</v>
      </c>
      <c r="I202" s="2"/>
      <c r="J202" s="36"/>
      <c r="K202" s="36"/>
      <c r="L202" s="36"/>
    </row>
    <row r="203" spans="1:12" ht="56.25" x14ac:dyDescent="0.25">
      <c r="A203" s="83" t="s">
        <v>38</v>
      </c>
      <c r="B203" s="85">
        <v>244</v>
      </c>
      <c r="C203" s="85">
        <v>342</v>
      </c>
      <c r="D203" s="5">
        <f t="shared" si="67"/>
        <v>0</v>
      </c>
      <c r="E203" s="2">
        <f t="shared" ref="E203:E208" si="69">E98-E161</f>
        <v>0</v>
      </c>
      <c r="F203" s="2"/>
      <c r="G203" s="5">
        <f t="shared" si="68"/>
        <v>0</v>
      </c>
      <c r="H203" s="2">
        <f t="shared" ref="H203:H208" si="70">H98-H161</f>
        <v>0</v>
      </c>
      <c r="I203" s="2"/>
      <c r="J203" s="36"/>
      <c r="K203" s="36"/>
      <c r="L203" s="36"/>
    </row>
    <row r="204" spans="1:12" ht="75" x14ac:dyDescent="0.25">
      <c r="A204" s="83" t="s">
        <v>39</v>
      </c>
      <c r="B204" s="85">
        <v>244</v>
      </c>
      <c r="C204" s="85">
        <v>343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75" x14ac:dyDescent="0.25">
      <c r="A205" s="83" t="s">
        <v>40</v>
      </c>
      <c r="B205" s="85">
        <v>244</v>
      </c>
      <c r="C205" s="85">
        <v>344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56.25" x14ac:dyDescent="0.25">
      <c r="A206" s="83" t="s">
        <v>41</v>
      </c>
      <c r="B206" s="85">
        <v>244</v>
      </c>
      <c r="C206" s="85">
        <v>345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75" x14ac:dyDescent="0.25">
      <c r="A207" s="83" t="s">
        <v>42</v>
      </c>
      <c r="B207" s="85">
        <v>244</v>
      </c>
      <c r="C207" s="85">
        <v>346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  <row r="208" spans="1:12" ht="112.5" x14ac:dyDescent="0.25">
      <c r="A208" s="83" t="s">
        <v>43</v>
      </c>
      <c r="B208" s="85">
        <v>244</v>
      </c>
      <c r="C208" s="85">
        <v>349</v>
      </c>
      <c r="D208" s="5">
        <f t="shared" si="67"/>
        <v>0</v>
      </c>
      <c r="E208" s="2">
        <f t="shared" si="69"/>
        <v>0</v>
      </c>
      <c r="F208" s="2"/>
      <c r="G208" s="5">
        <f t="shared" si="68"/>
        <v>0</v>
      </c>
      <c r="H208" s="2">
        <f t="shared" si="70"/>
        <v>0</v>
      </c>
      <c r="I208" s="2"/>
      <c r="J208" s="36"/>
      <c r="K208" s="36"/>
      <c r="L208" s="36"/>
    </row>
  </sheetData>
  <mergeCells count="39">
    <mergeCell ref="K121:M121"/>
    <mergeCell ref="N121:P121"/>
    <mergeCell ref="A125:I125"/>
    <mergeCell ref="A167:I167"/>
    <mergeCell ref="A147:A148"/>
    <mergeCell ref="A186:A187"/>
    <mergeCell ref="A189:A190"/>
    <mergeCell ref="G5:G6"/>
    <mergeCell ref="H5:I5"/>
    <mergeCell ref="A121:I121"/>
    <mergeCell ref="B118:C118"/>
    <mergeCell ref="E118:F118"/>
    <mergeCell ref="A120:B120"/>
    <mergeCell ref="A144:A145"/>
    <mergeCell ref="B114:C114"/>
    <mergeCell ref="E114:F114"/>
    <mergeCell ref="B115:C115"/>
    <mergeCell ref="E115:F115"/>
    <mergeCell ref="B117:C117"/>
    <mergeCell ref="E117:F117"/>
    <mergeCell ref="A80:A85"/>
    <mergeCell ref="A87:A90"/>
    <mergeCell ref="B111:C111"/>
    <mergeCell ref="E111:F111"/>
    <mergeCell ref="B112:C112"/>
    <mergeCell ref="E112:F112"/>
    <mergeCell ref="E5:F5"/>
    <mergeCell ref="A1:I1"/>
    <mergeCell ref="A2:I2"/>
    <mergeCell ref="A73:A75"/>
    <mergeCell ref="A5:A6"/>
    <mergeCell ref="B5:B6"/>
    <mergeCell ref="C5:C6"/>
    <mergeCell ref="D5:D6"/>
    <mergeCell ref="A35:A36"/>
    <mergeCell ref="A41:A42"/>
    <mergeCell ref="A52:A53"/>
    <mergeCell ref="A66:A67"/>
    <mergeCell ref="A55:A60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40" t="s">
        <v>269</v>
      </c>
      <c r="B1" s="240"/>
      <c r="C1" s="240"/>
      <c r="D1" s="240"/>
      <c r="E1" s="240"/>
      <c r="F1" s="240"/>
      <c r="G1" s="240"/>
      <c r="H1" s="240"/>
      <c r="I1" s="240"/>
    </row>
    <row r="2" spans="1:9" ht="18.75" x14ac:dyDescent="0.25">
      <c r="A2" s="240" t="s">
        <v>75</v>
      </c>
      <c r="B2" s="240"/>
      <c r="C2" s="240"/>
      <c r="D2" s="240"/>
      <c r="E2" s="240"/>
      <c r="F2" s="240"/>
      <c r="G2" s="240"/>
      <c r="H2" s="240"/>
      <c r="I2" s="240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73</v>
      </c>
      <c r="F5" s="234"/>
      <c r="G5" s="234" t="s">
        <v>1</v>
      </c>
      <c r="H5" s="234" t="s">
        <v>73</v>
      </c>
      <c r="I5" s="247"/>
    </row>
    <row r="6" spans="1:9" ht="15.75" x14ac:dyDescent="0.25">
      <c r="A6" s="334"/>
      <c r="B6" s="335"/>
      <c r="C6" s="336"/>
      <c r="D6" s="335"/>
      <c r="E6" s="335" t="s">
        <v>6</v>
      </c>
      <c r="F6" s="335"/>
      <c r="G6" s="335"/>
      <c r="H6" s="335" t="s">
        <v>6</v>
      </c>
      <c r="I6" s="337"/>
    </row>
    <row r="7" spans="1:9" ht="212.45" customHeight="1" thickBot="1" x14ac:dyDescent="0.3">
      <c r="A7" s="233"/>
      <c r="B7" s="235"/>
      <c r="C7" s="237"/>
      <c r="D7" s="235"/>
      <c r="E7" s="117" t="s">
        <v>198</v>
      </c>
      <c r="F7" s="117" t="s">
        <v>199</v>
      </c>
      <c r="G7" s="235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31" t="s">
        <v>200</v>
      </c>
      <c r="B12" s="332"/>
      <c r="C12" s="332"/>
      <c r="D12" s="332"/>
      <c r="E12" s="332"/>
      <c r="F12" s="332"/>
      <c r="G12" s="332"/>
      <c r="H12" s="332"/>
      <c r="I12" s="333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31" t="s">
        <v>202</v>
      </c>
      <c r="B54" s="332"/>
      <c r="C54" s="332"/>
      <c r="D54" s="332"/>
      <c r="E54" s="332"/>
      <c r="F54" s="332"/>
      <c r="G54" s="332"/>
      <c r="H54" s="332"/>
      <c r="I54" s="333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7"/>
      <c r="C96" s="227"/>
      <c r="D96" s="10"/>
      <c r="E96" s="227"/>
      <c r="F96" s="227"/>
    </row>
    <row r="97" spans="1:6" ht="18.75" x14ac:dyDescent="0.3">
      <c r="A97" s="29"/>
      <c r="B97" s="226" t="s">
        <v>53</v>
      </c>
      <c r="C97" s="226"/>
      <c r="D97" s="10"/>
      <c r="E97" s="226" t="s">
        <v>54</v>
      </c>
      <c r="F97" s="226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7"/>
      <c r="C99" s="227"/>
      <c r="D99" s="10"/>
      <c r="E99" s="227"/>
      <c r="F99" s="227"/>
    </row>
    <row r="100" spans="1:6" ht="18.75" x14ac:dyDescent="0.3">
      <c r="A100" s="29"/>
      <c r="B100" s="226" t="s">
        <v>53</v>
      </c>
      <c r="C100" s="226"/>
      <c r="D100" s="10"/>
      <c r="E100" s="226" t="s">
        <v>54</v>
      </c>
      <c r="F100" s="226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7"/>
      <c r="C102" s="227"/>
      <c r="D102" s="10"/>
      <c r="E102" s="227"/>
      <c r="F102" s="227"/>
    </row>
    <row r="103" spans="1:6" ht="18.75" x14ac:dyDescent="0.3">
      <c r="A103" s="29"/>
      <c r="B103" s="226" t="s">
        <v>53</v>
      </c>
      <c r="C103" s="226"/>
      <c r="D103" s="10"/>
      <c r="E103" s="226" t="s">
        <v>54</v>
      </c>
      <c r="F103" s="226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25" t="s">
        <v>44</v>
      </c>
      <c r="B105" s="225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topLeftCell="A82" zoomScaleNormal="100" zoomScaleSheetLayoutView="100" workbookViewId="0">
      <selection activeCell="E87" sqref="E87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261</v>
      </c>
      <c r="B1" s="240"/>
      <c r="C1" s="240"/>
      <c r="D1" s="240"/>
      <c r="E1" s="240"/>
      <c r="F1" s="240"/>
    </row>
    <row r="2" spans="1:6" ht="18.75" x14ac:dyDescent="0.25">
      <c r="A2" s="240" t="s">
        <v>483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93147568.109999985</v>
      </c>
      <c r="E9" s="2">
        <f>E10</f>
        <v>93147568.109999985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93147568.109999985</v>
      </c>
      <c r="E10" s="2">
        <f>E13+E46+E61+E94</f>
        <v>93147568.109999985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10018870.08</v>
      </c>
      <c r="E13" s="2">
        <f>E15+E18+E42</f>
        <v>10018870.08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'!E133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10018870.08</v>
      </c>
      <c r="E18" s="2">
        <f>E20+E21+E22+E33+E34+E37+E40+E41</f>
        <v>10018870.08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755195.63</v>
      </c>
      <c r="E20" s="2">
        <f>'гос.зад на 2023 год '!E136</f>
        <v>755195.63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'!E137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'!E139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'!E140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'!E141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'!E142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'!E143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'!E144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'!E145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'!E146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'!E147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'!E148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5218618.45</v>
      </c>
      <c r="E34" s="2">
        <f>E35+E36</f>
        <v>5218618.45</v>
      </c>
      <c r="F34" s="2">
        <f t="shared" si="7"/>
        <v>0</v>
      </c>
    </row>
    <row r="35" spans="1:6" ht="18.75" x14ac:dyDescent="0.25">
      <c r="A35" s="224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'!E150</f>
        <v>0</v>
      </c>
      <c r="F35" s="2"/>
    </row>
    <row r="36" spans="1:6" ht="18.75" x14ac:dyDescent="0.25">
      <c r="A36" s="224"/>
      <c r="B36" s="49">
        <v>244</v>
      </c>
      <c r="C36" s="49">
        <v>225</v>
      </c>
      <c r="D36" s="5">
        <f>E36+F36</f>
        <v>5218618.45</v>
      </c>
      <c r="E36" s="2">
        <f>'гос.зад на 2023 год '!E151</f>
        <v>5218618.45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4045056</v>
      </c>
      <c r="E37" s="2">
        <f>E38+E39</f>
        <v>4045056</v>
      </c>
      <c r="F37" s="2">
        <f>F38+F39</f>
        <v>0</v>
      </c>
    </row>
    <row r="38" spans="1:6" ht="18.75" x14ac:dyDescent="0.25">
      <c r="A38" s="224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'!E153</f>
        <v>0</v>
      </c>
      <c r="F38" s="2"/>
    </row>
    <row r="39" spans="1:6" ht="18.75" x14ac:dyDescent="0.25">
      <c r="A39" s="224"/>
      <c r="B39" s="49">
        <v>244</v>
      </c>
      <c r="C39" s="49">
        <v>226</v>
      </c>
      <c r="D39" s="5">
        <f t="shared" si="1"/>
        <v>4045056</v>
      </c>
      <c r="E39" s="2">
        <f>'гос.зад на 2023 год '!E154</f>
        <v>4045056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'!E155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'!E156</f>
        <v>0</v>
      </c>
      <c r="F41" s="2"/>
    </row>
    <row r="42" spans="1:6" ht="150" x14ac:dyDescent="0.25">
      <c r="A42" s="48" t="s">
        <v>490</v>
      </c>
      <c r="B42" s="49">
        <v>244</v>
      </c>
      <c r="C42" s="49">
        <v>229</v>
      </c>
      <c r="D42" s="5">
        <f t="shared" ref="D42" si="8">E42+F42</f>
        <v>0</v>
      </c>
      <c r="E42" s="2">
        <v>0</v>
      </c>
      <c r="F42" s="2"/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'!E159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'!E160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'!E163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'!E164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9">E52+F52</f>
        <v>0</v>
      </c>
      <c r="E52" s="2">
        <f>'гос.зад на 2023 год '!E167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9"/>
        <v>0</v>
      </c>
      <c r="E53" s="2">
        <f>'гос.зад на 2023 год '!E168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9"/>
        <v>290000</v>
      </c>
      <c r="E54" s="2">
        <f>'гос.зад на 2023 год '!E169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9"/>
        <v>0</v>
      </c>
      <c r="E55" s="2">
        <f>'гос.зад на 2023 год '!E170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9"/>
        <v>0</v>
      </c>
      <c r="E56" s="2">
        <f>'гос.зад на 2023 год '!E171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'!E172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'!E173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9"/>
        <v>0</v>
      </c>
      <c r="E59" s="2">
        <f>'гос.зад на 2023 год '!E174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10">E61+F61</f>
        <v>70600411.099999994</v>
      </c>
      <c r="E61" s="2">
        <f>E63+E66+E90</f>
        <v>70600411.099999994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1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'!E180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2">E66+F66</f>
        <v>70600411.099999994</v>
      </c>
      <c r="E66" s="2">
        <f>E68+E69+E70+E81+E82+E85+E88+E89</f>
        <v>70600411.099999994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3">E68+F68</f>
        <v>1622444.37</v>
      </c>
      <c r="E68" s="2">
        <f>'гос.зад на 2023 год '!E183</f>
        <v>1622444.37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3"/>
        <v>0</v>
      </c>
      <c r="E69" s="2">
        <f>'гос.зад на 2023 год '!E184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3"/>
        <v>36889964.499999993</v>
      </c>
      <c r="E70" s="2">
        <f>E73+E75+E77+E78+E79+E80</f>
        <v>36889964.499999993</v>
      </c>
      <c r="F70" s="2">
        <f t="shared" ref="F70" si="14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5">E72+F72</f>
        <v>0</v>
      </c>
      <c r="E72" s="2">
        <f>'гос.зад на 2023 год '!E186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6">E73+F73</f>
        <v>0</v>
      </c>
      <c r="E73" s="2">
        <f>'гос.зад на 2023 год '!E187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7">E74+F74</f>
        <v>0</v>
      </c>
      <c r="E74" s="2">
        <f>'гос.зад на 2023 год '!E187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6"/>
        <v>3698478.08</v>
      </c>
      <c r="E75" s="2">
        <f>'гос.зад на 2023 год '!E189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8">E76+F76</f>
        <v>0</v>
      </c>
      <c r="E76" s="2">
        <f>'гос.зад на 2023 год '!E190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6"/>
        <v>25841332.859999999</v>
      </c>
      <c r="E77" s="2">
        <f>'гос.зад на 2023 год '!E191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6"/>
        <v>6704866.3300000001</v>
      </c>
      <c r="E78" s="2">
        <f>'гос.зад на 2023 год '!E192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6"/>
        <v>608287.23</v>
      </c>
      <c r="E79" s="2">
        <f>'гос.зад на 2023 год '!E193</f>
        <v>608287.23</v>
      </c>
      <c r="F79" s="2"/>
    </row>
    <row r="80" spans="1:6" ht="56.25" x14ac:dyDescent="0.25">
      <c r="A80" s="194" t="s">
        <v>436</v>
      </c>
      <c r="B80" s="195">
        <v>244</v>
      </c>
      <c r="C80" s="195">
        <v>223</v>
      </c>
      <c r="D80" s="5">
        <f t="shared" ref="D80" si="19">E80+F80</f>
        <v>37000</v>
      </c>
      <c r="E80" s="2">
        <f>'гос.зад на 2023 год '!E194</f>
        <v>37000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6"/>
        <v>0</v>
      </c>
      <c r="E81" s="2">
        <f>'гос.зад на 2023 год '!E195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20">D83+D84</f>
        <v>25068382.68</v>
      </c>
      <c r="E82" s="2">
        <f>E83+E84</f>
        <v>25068382.68</v>
      </c>
      <c r="F82" s="2">
        <f t="shared" ref="F82" si="21">F83+F84</f>
        <v>0</v>
      </c>
    </row>
    <row r="83" spans="1:6" ht="18.75" x14ac:dyDescent="0.25">
      <c r="A83" s="224" t="s">
        <v>6</v>
      </c>
      <c r="B83" s="49">
        <v>243</v>
      </c>
      <c r="C83" s="49">
        <v>225</v>
      </c>
      <c r="D83" s="5">
        <f t="shared" ref="D83:D94" si="22">E83+F83</f>
        <v>0</v>
      </c>
      <c r="E83" s="2">
        <f>'гос.зад на 2023 год '!E197</f>
        <v>0</v>
      </c>
      <c r="F83" s="2"/>
    </row>
    <row r="84" spans="1:6" ht="18.75" x14ac:dyDescent="0.25">
      <c r="A84" s="224"/>
      <c r="B84" s="49">
        <v>244</v>
      </c>
      <c r="C84" s="49">
        <v>225</v>
      </c>
      <c r="D84" s="5">
        <f t="shared" si="22"/>
        <v>25068382.68</v>
      </c>
      <c r="E84" s="2">
        <f>'гос.зад на 2023 год '!E198</f>
        <v>25068382.68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2"/>
        <v>6994551.9299999997</v>
      </c>
      <c r="E85" s="2">
        <f>E86+E87</f>
        <v>6994551.9299999997</v>
      </c>
      <c r="F85" s="2">
        <f>F86+F87</f>
        <v>0</v>
      </c>
    </row>
    <row r="86" spans="1:6" ht="18.75" x14ac:dyDescent="0.25">
      <c r="A86" s="224" t="s">
        <v>6</v>
      </c>
      <c r="B86" s="49">
        <v>243</v>
      </c>
      <c r="C86" s="49">
        <v>226</v>
      </c>
      <c r="D86" s="5">
        <f t="shared" si="22"/>
        <v>0</v>
      </c>
      <c r="E86" s="2">
        <f>'гос.зад на 2023 год '!E200</f>
        <v>0</v>
      </c>
      <c r="F86" s="2"/>
    </row>
    <row r="87" spans="1:6" ht="18.75" x14ac:dyDescent="0.25">
      <c r="A87" s="224"/>
      <c r="B87" s="49">
        <v>244</v>
      </c>
      <c r="C87" s="49">
        <v>226</v>
      </c>
      <c r="D87" s="5">
        <f t="shared" si="22"/>
        <v>6994551.9299999997</v>
      </c>
      <c r="E87" s="2">
        <f>'гос.зад на 2023 год '!E201</f>
        <v>6994551.9299999997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2"/>
        <v>25067.62</v>
      </c>
      <c r="E88" s="2">
        <f>'гос.зад на 2023 год '!E202</f>
        <v>25067.62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3">E89+F89</f>
        <v>0</v>
      </c>
      <c r="E89" s="2">
        <f>'гос.зад на 2023 год '!E204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2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2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2"/>
        <v>0</v>
      </c>
      <c r="E92" s="2">
        <f>'гос.зад на 2023 год '!E206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2"/>
        <v>0</v>
      </c>
      <c r="E93" s="2">
        <f>'гос.зад на 2023 год '!E207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2"/>
        <v>12238286.93</v>
      </c>
      <c r="E94" s="2">
        <f>E96+E98+E97</f>
        <v>12238286.93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4">E96+F96</f>
        <v>0</v>
      </c>
      <c r="E96" s="2">
        <f>'гос.зад на 2023 год '!E210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4"/>
        <v>2796500</v>
      </c>
      <c r="E97" s="2">
        <f>'гос.зад на 2023 год '!E211</f>
        <v>2796500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4"/>
        <v>9441786.9299999997</v>
      </c>
      <c r="E98" s="2">
        <f>E100+E101+E102+E103+E104+E105+E106+E107</f>
        <v>9441786.9299999997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5">E100+F100</f>
        <v>0</v>
      </c>
      <c r="E100" s="2">
        <f>'гос.зад на 2023 год '!E214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5"/>
        <v>0</v>
      </c>
      <c r="E101" s="2">
        <f>'гос.зад на 2023 год '!E215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5"/>
        <v>0</v>
      </c>
      <c r="E102" s="2">
        <f>'гос.зад на 2023 год '!E216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5"/>
        <v>200000</v>
      </c>
      <c r="E103" s="2">
        <f>'гос.зад на 2023 год '!E217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5"/>
        <v>664128.31000000006</v>
      </c>
      <c r="E104" s="2">
        <f>'гос.зад на 2023 год '!E218</f>
        <v>664128.31000000006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5"/>
        <v>8428958.6199999992</v>
      </c>
      <c r="E105" s="2">
        <f>'гос.зад на 2023 год '!E219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6">E106+F106</f>
        <v>0</v>
      </c>
      <c r="E106" s="2">
        <f>'гос.зад на 2023 год '!E220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5"/>
        <v>148700</v>
      </c>
      <c r="E107" s="2">
        <f>'гос.зад на 2023 год '!E221</f>
        <v>148700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7"/>
      <c r="C110" s="227"/>
      <c r="D110" s="10"/>
      <c r="E110" s="227" t="s">
        <v>478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7"/>
      <c r="C113" s="227"/>
      <c r="D113" s="10"/>
      <c r="E113" s="227" t="s">
        <v>482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7"/>
      <c r="C116" s="227"/>
      <c r="D116" s="10"/>
      <c r="E116" s="227" t="s">
        <v>482</v>
      </c>
      <c r="F116" s="227"/>
    </row>
    <row r="117" spans="1:6" ht="18.75" x14ac:dyDescent="0.3">
      <c r="A117" s="29"/>
      <c r="B117" s="226" t="s">
        <v>53</v>
      </c>
      <c r="C117" s="226"/>
      <c r="D117" s="10"/>
      <c r="E117" s="226" t="s">
        <v>54</v>
      </c>
      <c r="F117" s="226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5" t="s">
        <v>44</v>
      </c>
      <c r="B119" s="225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58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23"/>
      <c r="F1" s="323"/>
      <c r="G1" s="323"/>
    </row>
    <row r="2" spans="1:7" ht="40.15" customHeight="1" x14ac:dyDescent="0.25">
      <c r="A2" s="295" t="s">
        <v>256</v>
      </c>
      <c r="B2" s="295"/>
      <c r="C2" s="295"/>
      <c r="D2" s="295"/>
      <c r="E2" s="295"/>
      <c r="F2" s="295"/>
      <c r="G2" s="295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95" t="s">
        <v>181</v>
      </c>
      <c r="B4" s="295"/>
      <c r="C4" s="295"/>
      <c r="D4" s="295"/>
      <c r="E4" s="295"/>
      <c r="F4" s="295"/>
      <c r="G4" s="295"/>
    </row>
    <row r="5" spans="1:7" ht="35.450000000000003" customHeight="1" x14ac:dyDescent="0.25">
      <c r="A5" s="295" t="s">
        <v>168</v>
      </c>
      <c r="B5" s="295"/>
      <c r="C5" s="295"/>
      <c r="D5" s="295"/>
      <c r="E5" s="295"/>
      <c r="F5" s="295"/>
      <c r="G5" s="295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81" t="s">
        <v>166</v>
      </c>
      <c r="C9" s="281"/>
      <c r="D9" s="281" t="s">
        <v>167</v>
      </c>
      <c r="E9" s="281"/>
      <c r="F9" s="281" t="s">
        <v>94</v>
      </c>
      <c r="G9" s="281"/>
    </row>
    <row r="10" spans="1:7" ht="18.75" x14ac:dyDescent="0.25">
      <c r="A10" s="58">
        <v>1</v>
      </c>
      <c r="B10" s="281">
        <v>2</v>
      </c>
      <c r="C10" s="281"/>
      <c r="D10" s="281">
        <v>3</v>
      </c>
      <c r="E10" s="281"/>
      <c r="F10" s="281">
        <v>4</v>
      </c>
      <c r="G10" s="281"/>
    </row>
    <row r="11" spans="1:7" ht="37.5" x14ac:dyDescent="0.25">
      <c r="A11" s="13" t="s">
        <v>169</v>
      </c>
      <c r="B11" s="281"/>
      <c r="C11" s="281"/>
      <c r="D11" s="281"/>
      <c r="E11" s="281"/>
      <c r="F11" s="287">
        <f>B11*D11</f>
        <v>0</v>
      </c>
      <c r="G11" s="287"/>
    </row>
    <row r="12" spans="1:7" ht="18.75" x14ac:dyDescent="0.25">
      <c r="A12" s="13" t="s">
        <v>120</v>
      </c>
      <c r="B12" s="281"/>
      <c r="C12" s="281"/>
      <c r="D12" s="281"/>
      <c r="E12" s="281"/>
      <c r="F12" s="281"/>
      <c r="G12" s="281"/>
    </row>
    <row r="13" spans="1:7" ht="18.75" x14ac:dyDescent="0.25">
      <c r="A13" s="55"/>
    </row>
    <row r="14" spans="1:7" ht="43.9" customHeight="1" x14ac:dyDescent="0.25">
      <c r="A14" s="295" t="s">
        <v>174</v>
      </c>
      <c r="B14" s="295"/>
      <c r="C14" s="295"/>
      <c r="D14" s="295"/>
      <c r="E14" s="295"/>
      <c r="F14" s="295"/>
      <c r="G14" s="295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81" t="s">
        <v>172</v>
      </c>
      <c r="C18" s="281"/>
      <c r="D18" s="281" t="s">
        <v>173</v>
      </c>
      <c r="E18" s="281"/>
      <c r="F18" s="281" t="s">
        <v>270</v>
      </c>
      <c r="G18" s="281"/>
    </row>
    <row r="19" spans="1:7" ht="18.75" x14ac:dyDescent="0.25">
      <c r="A19" s="58">
        <v>1</v>
      </c>
      <c r="B19" s="281">
        <v>2</v>
      </c>
      <c r="C19" s="281"/>
      <c r="D19" s="281">
        <v>3</v>
      </c>
      <c r="E19" s="281"/>
      <c r="F19" s="281">
        <v>4</v>
      </c>
      <c r="G19" s="281"/>
    </row>
    <row r="20" spans="1:7" ht="112.5" x14ac:dyDescent="0.25">
      <c r="A20" s="13" t="s">
        <v>170</v>
      </c>
      <c r="B20" s="281" t="s">
        <v>117</v>
      </c>
      <c r="C20" s="281"/>
      <c r="D20" s="281" t="s">
        <v>117</v>
      </c>
      <c r="E20" s="281"/>
      <c r="F20" s="287">
        <v>0</v>
      </c>
      <c r="G20" s="287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81" t="s">
        <v>172</v>
      </c>
      <c r="C24" s="281"/>
      <c r="D24" s="281" t="s">
        <v>173</v>
      </c>
      <c r="E24" s="281"/>
      <c r="F24" s="281" t="s">
        <v>94</v>
      </c>
      <c r="G24" s="281"/>
    </row>
    <row r="25" spans="1:7" ht="18.75" x14ac:dyDescent="0.25">
      <c r="A25" s="58">
        <v>1</v>
      </c>
      <c r="B25" s="281">
        <v>2</v>
      </c>
      <c r="C25" s="281"/>
      <c r="D25" s="281">
        <v>3</v>
      </c>
      <c r="E25" s="281"/>
      <c r="F25" s="281">
        <v>4</v>
      </c>
      <c r="G25" s="281"/>
    </row>
    <row r="26" spans="1:7" ht="75" x14ac:dyDescent="0.25">
      <c r="A26" s="13" t="s">
        <v>164</v>
      </c>
      <c r="B26" s="281"/>
      <c r="C26" s="281"/>
      <c r="D26" s="281"/>
      <c r="E26" s="281"/>
      <c r="F26" s="287">
        <f>B26*D26</f>
        <v>0</v>
      </c>
      <c r="G26" s="287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81" t="s">
        <v>172</v>
      </c>
      <c r="C30" s="281"/>
      <c r="D30" s="281" t="s">
        <v>173</v>
      </c>
      <c r="E30" s="281"/>
      <c r="F30" s="281" t="s">
        <v>183</v>
      </c>
      <c r="G30" s="281"/>
    </row>
    <row r="31" spans="1:7" ht="18.75" x14ac:dyDescent="0.25">
      <c r="A31" s="58">
        <v>1</v>
      </c>
      <c r="B31" s="281">
        <v>2</v>
      </c>
      <c r="C31" s="281"/>
      <c r="D31" s="281">
        <v>3</v>
      </c>
      <c r="E31" s="281"/>
      <c r="F31" s="281">
        <v>4</v>
      </c>
      <c r="G31" s="281"/>
    </row>
    <row r="32" spans="1:7" ht="93.75" x14ac:dyDescent="0.25">
      <c r="A32" s="13" t="s">
        <v>271</v>
      </c>
      <c r="B32" s="281" t="s">
        <v>117</v>
      </c>
      <c r="C32" s="281"/>
      <c r="D32" s="281" t="s">
        <v>117</v>
      </c>
      <c r="E32" s="281"/>
      <c r="F32" s="287">
        <v>0</v>
      </c>
      <c r="G32" s="287"/>
    </row>
    <row r="33" spans="1:7" ht="18.75" x14ac:dyDescent="0.25">
      <c r="A33" s="55"/>
    </row>
    <row r="34" spans="1:7" ht="18.75" x14ac:dyDescent="0.25">
      <c r="A34" s="295" t="s">
        <v>176</v>
      </c>
      <c r="B34" s="295"/>
      <c r="C34" s="295"/>
      <c r="D34" s="295"/>
      <c r="E34" s="295"/>
      <c r="F34" s="295"/>
      <c r="G34" s="295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63" t="s">
        <v>86</v>
      </c>
      <c r="B38" s="292"/>
      <c r="C38" s="264"/>
      <c r="D38" s="263" t="s">
        <v>165</v>
      </c>
      <c r="E38" s="292"/>
      <c r="F38" s="292"/>
      <c r="G38" s="264"/>
    </row>
    <row r="39" spans="1:7" ht="18.75" x14ac:dyDescent="0.25">
      <c r="A39" s="263">
        <v>1</v>
      </c>
      <c r="B39" s="292"/>
      <c r="C39" s="264"/>
      <c r="D39" s="263">
        <v>3</v>
      </c>
      <c r="E39" s="292"/>
      <c r="F39" s="292"/>
      <c r="G39" s="264"/>
    </row>
    <row r="40" spans="1:7" ht="18.75" x14ac:dyDescent="0.25">
      <c r="A40" s="258" t="s">
        <v>175</v>
      </c>
      <c r="B40" s="259"/>
      <c r="C40" s="260"/>
      <c r="D40" s="261">
        <v>0</v>
      </c>
      <c r="E40" s="316"/>
      <c r="F40" s="316"/>
      <c r="G40" s="262"/>
    </row>
    <row r="41" spans="1:7" ht="18.75" x14ac:dyDescent="0.25">
      <c r="A41" s="55"/>
    </row>
    <row r="42" spans="1:7" ht="18.75" x14ac:dyDescent="0.25">
      <c r="A42" s="295" t="s">
        <v>177</v>
      </c>
      <c r="B42" s="295"/>
      <c r="C42" s="295"/>
      <c r="D42" s="295"/>
      <c r="E42" s="295"/>
      <c r="F42" s="295"/>
      <c r="G42" s="295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81" t="s">
        <v>172</v>
      </c>
      <c r="C46" s="281"/>
      <c r="D46" s="281" t="s">
        <v>173</v>
      </c>
      <c r="E46" s="281"/>
      <c r="F46" s="281" t="s">
        <v>183</v>
      </c>
      <c r="G46" s="281"/>
    </row>
    <row r="47" spans="1:7" ht="18.75" x14ac:dyDescent="0.25">
      <c r="A47" s="58">
        <v>1</v>
      </c>
      <c r="B47" s="281">
        <v>2</v>
      </c>
      <c r="C47" s="281"/>
      <c r="D47" s="281">
        <v>3</v>
      </c>
      <c r="E47" s="281"/>
      <c r="F47" s="281">
        <v>4</v>
      </c>
      <c r="G47" s="281"/>
    </row>
    <row r="48" spans="1:7" ht="37.5" x14ac:dyDescent="0.25">
      <c r="A48" s="13" t="s">
        <v>272</v>
      </c>
      <c r="B48" s="281" t="s">
        <v>117</v>
      </c>
      <c r="C48" s="281"/>
      <c r="D48" s="281" t="s">
        <v>117</v>
      </c>
      <c r="E48" s="281"/>
      <c r="F48" s="287">
        <v>0</v>
      </c>
      <c r="G48" s="287"/>
    </row>
    <row r="49" spans="1:7" ht="18.75" x14ac:dyDescent="0.25">
      <c r="A49" s="55"/>
    </row>
    <row r="50" spans="1:7" ht="18.75" x14ac:dyDescent="0.25">
      <c r="A50" s="295" t="s">
        <v>187</v>
      </c>
      <c r="B50" s="295"/>
      <c r="C50" s="295"/>
      <c r="D50" s="295"/>
      <c r="E50" s="295"/>
      <c r="F50" s="295"/>
      <c r="G50" s="295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81" t="s">
        <v>172</v>
      </c>
      <c r="C54" s="281"/>
      <c r="D54" s="281" t="s">
        <v>173</v>
      </c>
      <c r="E54" s="281"/>
      <c r="F54" s="263" t="s">
        <v>171</v>
      </c>
      <c r="G54" s="264"/>
    </row>
    <row r="55" spans="1:7" ht="18.75" x14ac:dyDescent="0.25">
      <c r="A55" s="58">
        <v>1</v>
      </c>
      <c r="B55" s="281">
        <v>2</v>
      </c>
      <c r="C55" s="281"/>
      <c r="D55" s="281">
        <v>3</v>
      </c>
      <c r="E55" s="281"/>
      <c r="F55" s="281">
        <v>4</v>
      </c>
      <c r="G55" s="281"/>
    </row>
    <row r="56" spans="1:7" ht="58.9" customHeight="1" x14ac:dyDescent="0.25">
      <c r="A56" s="13" t="s">
        <v>184</v>
      </c>
      <c r="B56" s="281" t="s">
        <v>117</v>
      </c>
      <c r="C56" s="281"/>
      <c r="D56" s="281" t="s">
        <v>117</v>
      </c>
      <c r="E56" s="281"/>
      <c r="F56" s="287">
        <v>0</v>
      </c>
      <c r="G56" s="287"/>
    </row>
    <row r="57" spans="1:7" ht="18.75" x14ac:dyDescent="0.25">
      <c r="A57" s="55"/>
    </row>
    <row r="58" spans="1:7" ht="18.75" x14ac:dyDescent="0.25">
      <c r="A58" s="295" t="s">
        <v>178</v>
      </c>
      <c r="B58" s="295"/>
      <c r="C58" s="295"/>
      <c r="D58" s="295"/>
      <c r="E58" s="295"/>
      <c r="F58" s="295"/>
      <c r="G58" s="295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81" t="s">
        <v>142</v>
      </c>
      <c r="C62" s="281"/>
      <c r="D62" s="281" t="s">
        <v>182</v>
      </c>
      <c r="E62" s="281"/>
      <c r="F62" s="281" t="s">
        <v>94</v>
      </c>
      <c r="G62" s="281"/>
    </row>
    <row r="63" spans="1:7" ht="18.75" x14ac:dyDescent="0.25">
      <c r="A63" s="58">
        <v>1</v>
      </c>
      <c r="B63" s="281">
        <v>2</v>
      </c>
      <c r="C63" s="281"/>
      <c r="D63" s="281">
        <v>3</v>
      </c>
      <c r="E63" s="281"/>
      <c r="F63" s="281">
        <v>4</v>
      </c>
      <c r="G63" s="281"/>
    </row>
    <row r="64" spans="1:7" ht="56.25" x14ac:dyDescent="0.25">
      <c r="A64" s="13" t="s">
        <v>179</v>
      </c>
      <c r="B64" s="281" t="s">
        <v>117</v>
      </c>
      <c r="C64" s="281"/>
      <c r="D64" s="281" t="s">
        <v>117</v>
      </c>
      <c r="E64" s="281"/>
      <c r="F64" s="287">
        <v>0</v>
      </c>
      <c r="G64" s="287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81" t="s">
        <v>142</v>
      </c>
      <c r="C68" s="281"/>
      <c r="D68" s="281" t="s">
        <v>182</v>
      </c>
      <c r="E68" s="281"/>
      <c r="F68" s="281" t="s">
        <v>94</v>
      </c>
      <c r="G68" s="281"/>
    </row>
    <row r="69" spans="1:7" ht="18.75" x14ac:dyDescent="0.25">
      <c r="A69" s="58">
        <v>1</v>
      </c>
      <c r="B69" s="281">
        <v>2</v>
      </c>
      <c r="C69" s="281"/>
      <c r="D69" s="281">
        <v>3</v>
      </c>
      <c r="E69" s="281"/>
      <c r="F69" s="281">
        <v>4</v>
      </c>
      <c r="G69" s="281"/>
    </row>
    <row r="70" spans="1:7" ht="56.25" x14ac:dyDescent="0.25">
      <c r="A70" s="13" t="s">
        <v>179</v>
      </c>
      <c r="B70" s="281" t="s">
        <v>117</v>
      </c>
      <c r="C70" s="281"/>
      <c r="D70" s="281" t="s">
        <v>117</v>
      </c>
      <c r="E70" s="281"/>
      <c r="F70" s="287">
        <v>0</v>
      </c>
      <c r="G70" s="287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95" t="s">
        <v>254</v>
      </c>
      <c r="B72" s="295"/>
      <c r="C72" s="295"/>
      <c r="D72" s="295"/>
      <c r="E72" s="295"/>
      <c r="F72" s="295"/>
      <c r="G72" s="29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81" t="s">
        <v>142</v>
      </c>
      <c r="C76" s="281"/>
      <c r="D76" s="281" t="s">
        <v>182</v>
      </c>
      <c r="E76" s="281"/>
      <c r="F76" s="281" t="s">
        <v>94</v>
      </c>
      <c r="G76" s="281"/>
    </row>
    <row r="77" spans="1:7" ht="18.75" x14ac:dyDescent="0.25">
      <c r="A77" s="68">
        <v>1</v>
      </c>
      <c r="B77" s="281">
        <v>2</v>
      </c>
      <c r="C77" s="281"/>
      <c r="D77" s="281">
        <v>3</v>
      </c>
      <c r="E77" s="281"/>
      <c r="F77" s="281">
        <v>4</v>
      </c>
      <c r="G77" s="281"/>
    </row>
    <row r="78" spans="1:7" ht="150" x14ac:dyDescent="0.25">
      <c r="A78" s="13" t="s">
        <v>70</v>
      </c>
      <c r="B78" s="281" t="s">
        <v>117</v>
      </c>
      <c r="C78" s="281"/>
      <c r="D78" s="281" t="s">
        <v>117</v>
      </c>
      <c r="E78" s="281"/>
      <c r="F78" s="287">
        <v>0</v>
      </c>
      <c r="G78" s="287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81" t="s">
        <v>142</v>
      </c>
      <c r="C82" s="281"/>
      <c r="D82" s="281" t="s">
        <v>182</v>
      </c>
      <c r="E82" s="281"/>
      <c r="F82" s="281" t="s">
        <v>94</v>
      </c>
      <c r="G82" s="281"/>
    </row>
    <row r="83" spans="1:7" ht="18.75" x14ac:dyDescent="0.25">
      <c r="A83" s="68">
        <v>1</v>
      </c>
      <c r="B83" s="281">
        <v>2</v>
      </c>
      <c r="C83" s="281"/>
      <c r="D83" s="281">
        <v>3</v>
      </c>
      <c r="E83" s="281"/>
      <c r="F83" s="281">
        <v>4</v>
      </c>
      <c r="G83" s="281"/>
    </row>
    <row r="84" spans="1:7" ht="187.5" x14ac:dyDescent="0.25">
      <c r="A84" s="13" t="s">
        <v>273</v>
      </c>
      <c r="B84" s="281" t="s">
        <v>117</v>
      </c>
      <c r="C84" s="281"/>
      <c r="D84" s="281" t="s">
        <v>117</v>
      </c>
      <c r="E84" s="281"/>
      <c r="F84" s="287">
        <f>'платные на 2023 год '!D24</f>
        <v>0</v>
      </c>
      <c r="G84" s="287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95" t="s">
        <v>260</v>
      </c>
      <c r="B86" s="295"/>
      <c r="C86" s="295"/>
      <c r="D86" s="295"/>
      <c r="E86" s="295"/>
      <c r="F86" s="295"/>
      <c r="G86" s="29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81" t="s">
        <v>142</v>
      </c>
      <c r="C90" s="281"/>
      <c r="D90" s="281" t="s">
        <v>182</v>
      </c>
      <c r="E90" s="281"/>
      <c r="F90" s="281" t="s">
        <v>94</v>
      </c>
      <c r="G90" s="281"/>
    </row>
    <row r="91" spans="1:7" ht="18.75" x14ac:dyDescent="0.25">
      <c r="A91" s="86">
        <v>1</v>
      </c>
      <c r="B91" s="281">
        <v>2</v>
      </c>
      <c r="C91" s="281"/>
      <c r="D91" s="281">
        <v>3</v>
      </c>
      <c r="E91" s="281"/>
      <c r="F91" s="281">
        <v>4</v>
      </c>
      <c r="G91" s="281"/>
    </row>
    <row r="92" spans="1:7" ht="37.5" x14ac:dyDescent="0.25">
      <c r="A92" s="13" t="s">
        <v>194</v>
      </c>
      <c r="B92" s="281" t="s">
        <v>117</v>
      </c>
      <c r="C92" s="281"/>
      <c r="D92" s="281" t="s">
        <v>117</v>
      </c>
      <c r="E92" s="281"/>
      <c r="F92" s="287">
        <f>'гос.зад на 2023 год '!E109</f>
        <v>0</v>
      </c>
      <c r="G92" s="281"/>
    </row>
    <row r="93" spans="1:7" ht="56.25" x14ac:dyDescent="0.25">
      <c r="A93" s="13" t="s">
        <v>195</v>
      </c>
      <c r="B93" s="281" t="s">
        <v>117</v>
      </c>
      <c r="C93" s="281"/>
      <c r="D93" s="281" t="s">
        <v>117</v>
      </c>
      <c r="E93" s="281"/>
      <c r="F93" s="287">
        <f>'гос.зад на 2023 год '!E110</f>
        <v>0</v>
      </c>
      <c r="G93" s="281"/>
    </row>
    <row r="94" spans="1:7" ht="56.25" x14ac:dyDescent="0.25">
      <c r="A94" s="13" t="s">
        <v>196</v>
      </c>
      <c r="B94" s="281" t="s">
        <v>117</v>
      </c>
      <c r="C94" s="281"/>
      <c r="D94" s="281" t="s">
        <v>117</v>
      </c>
      <c r="E94" s="281"/>
      <c r="F94" s="287">
        <f>'гос.зад на 2023 год '!E111</f>
        <v>0</v>
      </c>
      <c r="G94" s="281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95" t="s">
        <v>188</v>
      </c>
      <c r="B96" s="295"/>
      <c r="C96" s="295"/>
      <c r="D96" s="295"/>
      <c r="E96" s="295"/>
      <c r="F96" s="295"/>
      <c r="G96" s="295"/>
    </row>
    <row r="97" spans="1:7" ht="18.75" x14ac:dyDescent="0.25">
      <c r="A97" s="8"/>
    </row>
    <row r="98" spans="1:7" ht="18.75" x14ac:dyDescent="0.25">
      <c r="A98" s="280" t="s">
        <v>189</v>
      </c>
      <c r="B98" s="280"/>
      <c r="C98" s="280"/>
      <c r="D98" s="280"/>
      <c r="E98" s="280"/>
      <c r="F98" s="280"/>
      <c r="G98" s="280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81" t="s">
        <v>76</v>
      </c>
      <c r="B102" s="281" t="s">
        <v>77</v>
      </c>
      <c r="C102" s="281" t="s">
        <v>78</v>
      </c>
      <c r="D102" s="281"/>
      <c r="E102" s="281"/>
      <c r="F102" s="281"/>
      <c r="G102" s="281" t="s">
        <v>79</v>
      </c>
    </row>
    <row r="103" spans="1:7" ht="18.75" x14ac:dyDescent="0.25">
      <c r="A103" s="281"/>
      <c r="B103" s="281"/>
      <c r="C103" s="281" t="s">
        <v>80</v>
      </c>
      <c r="D103" s="281" t="s">
        <v>6</v>
      </c>
      <c r="E103" s="281"/>
      <c r="F103" s="281"/>
      <c r="G103" s="281"/>
    </row>
    <row r="104" spans="1:7" ht="75" x14ac:dyDescent="0.25">
      <c r="A104" s="281"/>
      <c r="B104" s="281"/>
      <c r="C104" s="281"/>
      <c r="D104" s="12" t="s">
        <v>81</v>
      </c>
      <c r="E104" s="12" t="s">
        <v>82</v>
      </c>
      <c r="F104" s="12" t="s">
        <v>83</v>
      </c>
      <c r="G104" s="281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80" t="s">
        <v>180</v>
      </c>
      <c r="B109" s="280"/>
      <c r="C109" s="280"/>
      <c r="D109" s="280"/>
      <c r="E109" s="280"/>
      <c r="F109" s="280"/>
      <c r="G109" s="280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81" t="s">
        <v>244</v>
      </c>
      <c r="C113" s="281"/>
      <c r="D113" s="281" t="s">
        <v>185</v>
      </c>
      <c r="E113" s="281"/>
      <c r="F113" s="281" t="s">
        <v>85</v>
      </c>
      <c r="G113" s="281"/>
    </row>
    <row r="114" spans="1:7" ht="18.75" x14ac:dyDescent="0.25">
      <c r="A114" s="58">
        <v>1</v>
      </c>
      <c r="B114" s="281">
        <v>2</v>
      </c>
      <c r="C114" s="281"/>
      <c r="D114" s="281">
        <v>3</v>
      </c>
      <c r="E114" s="281"/>
      <c r="F114" s="281">
        <v>4</v>
      </c>
      <c r="G114" s="281"/>
    </row>
    <row r="115" spans="1:7" ht="18.75" x14ac:dyDescent="0.25">
      <c r="A115" s="102">
        <f>B107</f>
        <v>0</v>
      </c>
      <c r="B115" s="287">
        <v>0</v>
      </c>
      <c r="C115" s="287"/>
      <c r="D115" s="287">
        <f>G107</f>
        <v>0</v>
      </c>
      <c r="E115" s="287"/>
      <c r="F115" s="287">
        <f>B115-D115</f>
        <v>0</v>
      </c>
      <c r="G115" s="287"/>
    </row>
    <row r="116" spans="1:7" ht="18.75" x14ac:dyDescent="0.25">
      <c r="A116" s="8"/>
    </row>
    <row r="117" spans="1:7" ht="51" customHeight="1" x14ac:dyDescent="0.25">
      <c r="A117" s="288" t="s">
        <v>203</v>
      </c>
      <c r="B117" s="288"/>
      <c r="C117" s="288"/>
      <c r="D117" s="288"/>
      <c r="E117" s="288"/>
      <c r="F117" s="288"/>
      <c r="G117" s="288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81" t="s">
        <v>88</v>
      </c>
      <c r="D121" s="281"/>
      <c r="E121" s="58" t="s">
        <v>89</v>
      </c>
      <c r="F121" s="281" t="s">
        <v>90</v>
      </c>
      <c r="G121" s="281"/>
    </row>
    <row r="122" spans="1:7" ht="18.75" x14ac:dyDescent="0.25">
      <c r="A122" s="58">
        <v>1</v>
      </c>
      <c r="B122" s="58">
        <v>2</v>
      </c>
      <c r="C122" s="281">
        <v>3</v>
      </c>
      <c r="D122" s="281"/>
      <c r="E122" s="58">
        <v>4</v>
      </c>
      <c r="F122" s="281">
        <v>5</v>
      </c>
      <c r="G122" s="281"/>
    </row>
    <row r="123" spans="1:7" ht="18.75" x14ac:dyDescent="0.25">
      <c r="A123" s="13" t="s">
        <v>91</v>
      </c>
      <c r="B123" s="56"/>
      <c r="C123" s="281"/>
      <c r="D123" s="281"/>
      <c r="E123" s="14"/>
      <c r="F123" s="287">
        <f>B123*C123*E123</f>
        <v>0</v>
      </c>
      <c r="G123" s="287"/>
    </row>
    <row r="124" spans="1:7" ht="18.75" x14ac:dyDescent="0.25">
      <c r="A124" s="8"/>
    </row>
    <row r="125" spans="1:7" ht="33" customHeight="1" x14ac:dyDescent="0.25">
      <c r="A125" s="288" t="s">
        <v>227</v>
      </c>
      <c r="B125" s="288"/>
      <c r="C125" s="288"/>
      <c r="D125" s="288"/>
      <c r="E125" s="288"/>
      <c r="F125" s="288"/>
      <c r="G125" s="288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63" t="s">
        <v>229</v>
      </c>
      <c r="D129" s="292"/>
      <c r="E129" s="264"/>
      <c r="F129" s="281" t="s">
        <v>94</v>
      </c>
      <c r="G129" s="281"/>
    </row>
    <row r="130" spans="1:7" ht="18.75" x14ac:dyDescent="0.25">
      <c r="A130" s="58">
        <v>1</v>
      </c>
      <c r="B130" s="58">
        <v>2</v>
      </c>
      <c r="C130" s="263">
        <v>3</v>
      </c>
      <c r="D130" s="292"/>
      <c r="E130" s="264"/>
      <c r="F130" s="281">
        <v>4</v>
      </c>
      <c r="G130" s="281"/>
    </row>
    <row r="131" spans="1:7" ht="18.75" x14ac:dyDescent="0.25">
      <c r="A131" s="13"/>
      <c r="B131" s="56"/>
      <c r="C131" s="263"/>
      <c r="D131" s="292"/>
      <c r="E131" s="264"/>
      <c r="F131" s="287">
        <f>B131*C131</f>
        <v>0</v>
      </c>
      <c r="G131" s="287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8" t="s">
        <v>204</v>
      </c>
      <c r="B133" s="288"/>
      <c r="C133" s="288"/>
      <c r="D133" s="288"/>
      <c r="E133" s="288"/>
      <c r="F133" s="288"/>
      <c r="G133" s="288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81" t="s">
        <v>86</v>
      </c>
      <c r="B137" s="281"/>
      <c r="C137" s="58" t="s">
        <v>92</v>
      </c>
      <c r="D137" s="281" t="s">
        <v>93</v>
      </c>
      <c r="E137" s="281"/>
      <c r="F137" s="281" t="s">
        <v>94</v>
      </c>
      <c r="G137" s="281"/>
    </row>
    <row r="138" spans="1:7" ht="18.75" x14ac:dyDescent="0.25">
      <c r="A138" s="263">
        <v>1</v>
      </c>
      <c r="B138" s="264"/>
      <c r="C138" s="58">
        <v>2</v>
      </c>
      <c r="D138" s="263">
        <v>3</v>
      </c>
      <c r="E138" s="264"/>
      <c r="F138" s="263">
        <v>4</v>
      </c>
      <c r="G138" s="264"/>
    </row>
    <row r="139" spans="1:7" ht="18.75" x14ac:dyDescent="0.25">
      <c r="A139" s="263"/>
      <c r="B139" s="264"/>
      <c r="C139" s="58"/>
      <c r="D139" s="263"/>
      <c r="E139" s="264"/>
      <c r="F139" s="261">
        <f>C139*D139</f>
        <v>0</v>
      </c>
      <c r="G139" s="262"/>
    </row>
    <row r="140" spans="1:7" ht="18.75" x14ac:dyDescent="0.25">
      <c r="A140" s="8"/>
    </row>
    <row r="141" spans="1:7" ht="36.6" customHeight="1" x14ac:dyDescent="0.25">
      <c r="A141" s="288" t="s">
        <v>205</v>
      </c>
      <c r="B141" s="288"/>
      <c r="C141" s="288"/>
      <c r="D141" s="288"/>
      <c r="E141" s="288"/>
      <c r="F141" s="288"/>
      <c r="G141" s="288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81" t="s">
        <v>88</v>
      </c>
      <c r="D145" s="281"/>
      <c r="E145" s="58" t="s">
        <v>89</v>
      </c>
      <c r="F145" s="281" t="s">
        <v>90</v>
      </c>
      <c r="G145" s="281"/>
    </row>
    <row r="146" spans="1:7" ht="18.75" x14ac:dyDescent="0.25">
      <c r="A146" s="58">
        <v>1</v>
      </c>
      <c r="B146" s="58">
        <v>2</v>
      </c>
      <c r="C146" s="281">
        <v>3</v>
      </c>
      <c r="D146" s="281"/>
      <c r="E146" s="58">
        <v>4</v>
      </c>
      <c r="F146" s="281">
        <v>5</v>
      </c>
      <c r="G146" s="281"/>
    </row>
    <row r="147" spans="1:7" ht="37.5" x14ac:dyDescent="0.25">
      <c r="A147" s="13" t="s">
        <v>95</v>
      </c>
      <c r="B147" s="56"/>
      <c r="C147" s="281"/>
      <c r="D147" s="281"/>
      <c r="E147" s="14"/>
      <c r="F147" s="287">
        <f>B147*C147*E147</f>
        <v>0</v>
      </c>
      <c r="G147" s="287"/>
    </row>
    <row r="148" spans="1:7" ht="18.75" x14ac:dyDescent="0.25">
      <c r="A148" s="8"/>
    </row>
    <row r="149" spans="1:7" ht="41.45" customHeight="1" x14ac:dyDescent="0.25">
      <c r="A149" s="288" t="s">
        <v>206</v>
      </c>
      <c r="B149" s="288"/>
      <c r="C149" s="288"/>
      <c r="D149" s="288"/>
      <c r="E149" s="288"/>
      <c r="F149" s="288"/>
      <c r="G149" s="288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81" t="s">
        <v>97</v>
      </c>
      <c r="D153" s="281"/>
      <c r="E153" s="58" t="s">
        <v>89</v>
      </c>
      <c r="F153" s="281" t="s">
        <v>90</v>
      </c>
      <c r="G153" s="281"/>
    </row>
    <row r="154" spans="1:7" ht="18.75" x14ac:dyDescent="0.3">
      <c r="A154" s="58">
        <v>1</v>
      </c>
      <c r="B154" s="58">
        <v>2</v>
      </c>
      <c r="C154" s="281">
        <v>3</v>
      </c>
      <c r="D154" s="281"/>
      <c r="E154" s="58">
        <v>4</v>
      </c>
      <c r="F154" s="254">
        <v>5</v>
      </c>
      <c r="G154" s="255"/>
    </row>
    <row r="155" spans="1:7" ht="93.75" x14ac:dyDescent="0.25">
      <c r="A155" s="13" t="s">
        <v>98</v>
      </c>
      <c r="B155" s="77"/>
      <c r="C155" s="287"/>
      <c r="D155" s="287"/>
      <c r="E155" s="79"/>
      <c r="F155" s="305">
        <f>B155*C155*E155</f>
        <v>0</v>
      </c>
      <c r="G155" s="306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81" t="s">
        <v>97</v>
      </c>
      <c r="D159" s="281"/>
      <c r="E159" s="58" t="s">
        <v>89</v>
      </c>
      <c r="F159" s="281" t="s">
        <v>90</v>
      </c>
      <c r="G159" s="281"/>
    </row>
    <row r="160" spans="1:7" ht="18.75" x14ac:dyDescent="0.3">
      <c r="A160" s="58">
        <v>1</v>
      </c>
      <c r="B160" s="58">
        <v>2</v>
      </c>
      <c r="C160" s="281">
        <v>3</v>
      </c>
      <c r="D160" s="281"/>
      <c r="E160" s="58">
        <v>4</v>
      </c>
      <c r="F160" s="254">
        <v>5</v>
      </c>
      <c r="G160" s="255"/>
    </row>
    <row r="161" spans="1:7" ht="75" x14ac:dyDescent="0.25">
      <c r="A161" s="13" t="s">
        <v>157</v>
      </c>
      <c r="B161" s="77"/>
      <c r="C161" s="287"/>
      <c r="D161" s="287"/>
      <c r="E161" s="79"/>
      <c r="F161" s="305">
        <f>B161*C161*E161</f>
        <v>0</v>
      </c>
      <c r="G161" s="306"/>
    </row>
    <row r="162" spans="1:7" ht="18.75" x14ac:dyDescent="0.25">
      <c r="A162" s="13" t="s">
        <v>120</v>
      </c>
      <c r="B162" s="56"/>
      <c r="C162" s="263"/>
      <c r="D162" s="264"/>
      <c r="E162" s="14"/>
      <c r="F162" s="342"/>
      <c r="G162" s="344"/>
    </row>
    <row r="163" spans="1:7" ht="18.75" x14ac:dyDescent="0.25">
      <c r="A163" s="8"/>
    </row>
    <row r="164" spans="1:7" ht="36" customHeight="1" x14ac:dyDescent="0.25">
      <c r="A164" s="288" t="s">
        <v>207</v>
      </c>
      <c r="B164" s="288"/>
      <c r="C164" s="288"/>
      <c r="D164" s="288"/>
      <c r="E164" s="288"/>
      <c r="F164" s="288"/>
      <c r="G164" s="288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81" t="s">
        <v>99</v>
      </c>
      <c r="C168" s="281"/>
      <c r="D168" s="281" t="s">
        <v>100</v>
      </c>
      <c r="E168" s="281"/>
      <c r="F168" s="281" t="s">
        <v>101</v>
      </c>
      <c r="G168" s="281"/>
    </row>
    <row r="169" spans="1:7" ht="18.75" x14ac:dyDescent="0.3">
      <c r="A169" s="58">
        <v>1</v>
      </c>
      <c r="B169" s="263">
        <v>2</v>
      </c>
      <c r="C169" s="264"/>
      <c r="D169" s="263">
        <v>3</v>
      </c>
      <c r="E169" s="264"/>
      <c r="F169" s="254">
        <v>4</v>
      </c>
      <c r="G169" s="255"/>
    </row>
    <row r="170" spans="1:7" ht="93.75" x14ac:dyDescent="0.25">
      <c r="A170" s="13" t="s">
        <v>102</v>
      </c>
      <c r="B170" s="263"/>
      <c r="C170" s="264"/>
      <c r="D170" s="263"/>
      <c r="E170" s="264"/>
      <c r="F170" s="305">
        <f>B170*D170</f>
        <v>0</v>
      </c>
      <c r="G170" s="306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81" t="s">
        <v>104</v>
      </c>
      <c r="E174" s="281"/>
      <c r="F174" s="281" t="s">
        <v>90</v>
      </c>
      <c r="G174" s="281"/>
    </row>
    <row r="175" spans="1:7" ht="18.75" x14ac:dyDescent="0.25">
      <c r="A175" s="58">
        <v>1</v>
      </c>
      <c r="B175" s="58">
        <v>2</v>
      </c>
      <c r="C175" s="58">
        <v>3</v>
      </c>
      <c r="D175" s="281">
        <v>4</v>
      </c>
      <c r="E175" s="281"/>
      <c r="F175" s="281">
        <v>5</v>
      </c>
      <c r="G175" s="281"/>
    </row>
    <row r="176" spans="1:7" ht="56.25" x14ac:dyDescent="0.25">
      <c r="A176" s="13" t="s">
        <v>105</v>
      </c>
      <c r="B176" s="56"/>
      <c r="C176" s="58"/>
      <c r="D176" s="263"/>
      <c r="E176" s="264"/>
      <c r="F176" s="261">
        <f>B176*C176*D176</f>
        <v>0</v>
      </c>
      <c r="G176" s="262"/>
    </row>
    <row r="177" spans="1:7" ht="18.75" x14ac:dyDescent="0.25">
      <c r="A177" s="8"/>
    </row>
    <row r="178" spans="1:7" ht="31.9" customHeight="1" x14ac:dyDescent="0.25">
      <c r="A178" s="280" t="s">
        <v>208</v>
      </c>
      <c r="B178" s="280"/>
      <c r="C178" s="280"/>
      <c r="D178" s="280"/>
      <c r="E178" s="280"/>
      <c r="F178" s="280"/>
      <c r="G178" s="280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81" t="s">
        <v>106</v>
      </c>
      <c r="C182" s="281"/>
      <c r="D182" s="281" t="s">
        <v>107</v>
      </c>
      <c r="E182" s="281"/>
      <c r="F182" s="281" t="s">
        <v>108</v>
      </c>
      <c r="G182" s="281"/>
    </row>
    <row r="183" spans="1:7" ht="18.75" x14ac:dyDescent="0.25">
      <c r="A183" s="58">
        <v>1</v>
      </c>
      <c r="B183" s="263">
        <v>2</v>
      </c>
      <c r="C183" s="264"/>
      <c r="D183" s="263">
        <v>3</v>
      </c>
      <c r="E183" s="264"/>
      <c r="F183" s="263">
        <v>4</v>
      </c>
      <c r="G183" s="264"/>
    </row>
    <row r="184" spans="1:7" ht="131.25" x14ac:dyDescent="0.25">
      <c r="A184" s="13" t="s">
        <v>27</v>
      </c>
      <c r="B184" s="281"/>
      <c r="C184" s="281"/>
      <c r="D184" s="281"/>
      <c r="E184" s="281"/>
      <c r="F184" s="287">
        <f>B184*D184</f>
        <v>0</v>
      </c>
      <c r="G184" s="287"/>
    </row>
    <row r="185" spans="1:7" ht="18.75" x14ac:dyDescent="0.25">
      <c r="A185" s="13" t="s">
        <v>156</v>
      </c>
      <c r="B185" s="281"/>
      <c r="C185" s="281"/>
      <c r="D185" s="281"/>
      <c r="E185" s="281"/>
      <c r="F185" s="287"/>
      <c r="G185" s="287"/>
    </row>
    <row r="186" spans="1:7" ht="18.75" x14ac:dyDescent="0.25">
      <c r="A186" s="8"/>
    </row>
    <row r="187" spans="1:7" ht="34.9" customHeight="1" x14ac:dyDescent="0.25">
      <c r="A187" s="288" t="s">
        <v>226</v>
      </c>
      <c r="B187" s="288"/>
      <c r="C187" s="288"/>
      <c r="D187" s="288"/>
      <c r="E187" s="288"/>
      <c r="F187" s="288"/>
      <c r="G187" s="288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81" t="s">
        <v>109</v>
      </c>
      <c r="C190" s="281"/>
      <c r="D190" s="281" t="s">
        <v>110</v>
      </c>
      <c r="E190" s="281"/>
      <c r="F190" s="281" t="s">
        <v>111</v>
      </c>
      <c r="G190" s="281"/>
    </row>
    <row r="191" spans="1:7" ht="18.75" x14ac:dyDescent="0.25">
      <c r="A191" s="58">
        <v>1</v>
      </c>
      <c r="B191" s="263">
        <v>2</v>
      </c>
      <c r="C191" s="264"/>
      <c r="D191" s="293">
        <v>3</v>
      </c>
      <c r="E191" s="294"/>
      <c r="F191" s="293">
        <v>4</v>
      </c>
      <c r="G191" s="294"/>
    </row>
    <row r="192" spans="1:7" ht="37.5" x14ac:dyDescent="0.25">
      <c r="A192" s="13" t="s">
        <v>112</v>
      </c>
      <c r="B192" s="293"/>
      <c r="C192" s="294"/>
      <c r="D192" s="293"/>
      <c r="E192" s="294"/>
      <c r="F192" s="261">
        <f>B192*D192/100</f>
        <v>0</v>
      </c>
      <c r="G192" s="262"/>
    </row>
    <row r="193" spans="1:7" ht="37.5" x14ac:dyDescent="0.25">
      <c r="A193" s="13" t="s">
        <v>113</v>
      </c>
      <c r="B193" s="293"/>
      <c r="C193" s="294"/>
      <c r="D193" s="293"/>
      <c r="E193" s="294"/>
      <c r="F193" s="261">
        <f>B193*D193/100</f>
        <v>0</v>
      </c>
      <c r="G193" s="262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81" t="s">
        <v>109</v>
      </c>
      <c r="C197" s="281"/>
      <c r="D197" s="281" t="s">
        <v>110</v>
      </c>
      <c r="E197" s="281"/>
      <c r="F197" s="281" t="s">
        <v>115</v>
      </c>
      <c r="G197" s="281"/>
    </row>
    <row r="198" spans="1:7" ht="18.75" x14ac:dyDescent="0.3">
      <c r="A198" s="58">
        <v>1</v>
      </c>
      <c r="B198" s="263">
        <v>2</v>
      </c>
      <c r="C198" s="264"/>
      <c r="D198" s="263">
        <v>3</v>
      </c>
      <c r="E198" s="264"/>
      <c r="F198" s="254">
        <v>4</v>
      </c>
      <c r="G198" s="255"/>
    </row>
    <row r="199" spans="1:7" ht="39" customHeight="1" x14ac:dyDescent="0.25">
      <c r="A199" s="13" t="s">
        <v>116</v>
      </c>
      <c r="B199" s="263" t="s">
        <v>117</v>
      </c>
      <c r="C199" s="264"/>
      <c r="D199" s="263" t="s">
        <v>117</v>
      </c>
      <c r="E199" s="264"/>
      <c r="F199" s="305">
        <v>0</v>
      </c>
      <c r="G199" s="306"/>
    </row>
    <row r="200" spans="1:7" ht="18.75" x14ac:dyDescent="0.25">
      <c r="A200" s="13" t="s">
        <v>118</v>
      </c>
      <c r="B200" s="293"/>
      <c r="C200" s="294"/>
      <c r="D200" s="293"/>
      <c r="E200" s="294"/>
      <c r="F200" s="293"/>
      <c r="G200" s="294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81" t="s">
        <v>109</v>
      </c>
      <c r="C204" s="281"/>
      <c r="D204" s="281" t="s">
        <v>110</v>
      </c>
      <c r="E204" s="281"/>
      <c r="F204" s="281" t="s">
        <v>115</v>
      </c>
      <c r="G204" s="281"/>
    </row>
    <row r="205" spans="1:7" ht="18.75" x14ac:dyDescent="0.3">
      <c r="A205" s="58">
        <v>1</v>
      </c>
      <c r="B205" s="263">
        <v>2</v>
      </c>
      <c r="C205" s="264"/>
      <c r="D205" s="263">
        <v>3</v>
      </c>
      <c r="E205" s="264"/>
      <c r="F205" s="254">
        <v>4</v>
      </c>
      <c r="G205" s="255"/>
    </row>
    <row r="206" spans="1:7" ht="49.15" customHeight="1" x14ac:dyDescent="0.25">
      <c r="A206" s="13" t="s">
        <v>155</v>
      </c>
      <c r="B206" s="263" t="s">
        <v>117</v>
      </c>
      <c r="C206" s="264"/>
      <c r="D206" s="263" t="s">
        <v>117</v>
      </c>
      <c r="E206" s="264"/>
      <c r="F206" s="305">
        <v>0</v>
      </c>
      <c r="G206" s="306"/>
    </row>
    <row r="207" spans="1:7" ht="15" customHeight="1" x14ac:dyDescent="0.25">
      <c r="A207" s="13" t="s">
        <v>118</v>
      </c>
      <c r="B207" s="293"/>
      <c r="C207" s="294"/>
      <c r="D207" s="293"/>
      <c r="E207" s="294"/>
      <c r="F207" s="340"/>
      <c r="G207" s="341"/>
    </row>
    <row r="208" spans="1:7" ht="18.75" x14ac:dyDescent="0.25">
      <c r="A208" s="8"/>
    </row>
    <row r="209" spans="1:7" ht="45" customHeight="1" x14ac:dyDescent="0.25">
      <c r="A209" s="288" t="s">
        <v>209</v>
      </c>
      <c r="B209" s="288"/>
      <c r="C209" s="288"/>
      <c r="D209" s="288"/>
      <c r="E209" s="288"/>
      <c r="F209" s="288"/>
      <c r="G209" s="288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81" t="s">
        <v>106</v>
      </c>
      <c r="C213" s="281"/>
      <c r="D213" s="281" t="s">
        <v>107</v>
      </c>
      <c r="E213" s="281"/>
      <c r="F213" s="281" t="s">
        <v>108</v>
      </c>
      <c r="G213" s="281"/>
    </row>
    <row r="214" spans="1:7" ht="18.75" x14ac:dyDescent="0.25">
      <c r="A214" s="58">
        <v>1</v>
      </c>
      <c r="B214" s="281">
        <v>2</v>
      </c>
      <c r="C214" s="281"/>
      <c r="D214" s="281">
        <v>3</v>
      </c>
      <c r="E214" s="281"/>
      <c r="F214" s="281">
        <v>4</v>
      </c>
      <c r="G214" s="281"/>
    </row>
    <row r="215" spans="1:7" ht="18.75" x14ac:dyDescent="0.25">
      <c r="A215" s="13"/>
      <c r="B215" s="319"/>
      <c r="C215" s="319"/>
      <c r="D215" s="319"/>
      <c r="E215" s="319"/>
      <c r="F215" s="287">
        <f>B215*D215</f>
        <v>0</v>
      </c>
      <c r="G215" s="287"/>
    </row>
    <row r="216" spans="1:7" ht="18.75" x14ac:dyDescent="0.25">
      <c r="A216" s="13"/>
      <c r="B216" s="319"/>
      <c r="C216" s="319"/>
      <c r="D216" s="319"/>
      <c r="E216" s="319"/>
      <c r="F216" s="320"/>
      <c r="G216" s="320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81" t="s">
        <v>106</v>
      </c>
      <c r="C220" s="281"/>
      <c r="D220" s="281" t="s">
        <v>107</v>
      </c>
      <c r="E220" s="281"/>
      <c r="F220" s="281" t="s">
        <v>108</v>
      </c>
      <c r="G220" s="281"/>
    </row>
    <row r="221" spans="1:7" ht="18" customHeight="1" x14ac:dyDescent="0.25">
      <c r="A221" s="58">
        <v>1</v>
      </c>
      <c r="B221" s="281">
        <v>2</v>
      </c>
      <c r="C221" s="281"/>
      <c r="D221" s="281">
        <v>3</v>
      </c>
      <c r="E221" s="281"/>
      <c r="F221" s="281">
        <v>4</v>
      </c>
      <c r="G221" s="281"/>
    </row>
    <row r="222" spans="1:7" ht="18" customHeight="1" x14ac:dyDescent="0.25">
      <c r="A222" s="13"/>
      <c r="B222" s="319"/>
      <c r="C222" s="319"/>
      <c r="D222" s="319"/>
      <c r="E222" s="319"/>
      <c r="F222" s="287">
        <f>B222*D222</f>
        <v>0</v>
      </c>
      <c r="G222" s="287"/>
    </row>
    <row r="223" spans="1:7" ht="18" customHeight="1" x14ac:dyDescent="0.25">
      <c r="A223" s="13"/>
      <c r="B223" s="319"/>
      <c r="C223" s="319"/>
      <c r="D223" s="319"/>
      <c r="E223" s="319"/>
      <c r="F223" s="320"/>
      <c r="G223" s="320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81" t="s">
        <v>106</v>
      </c>
      <c r="C227" s="281"/>
      <c r="D227" s="281" t="s">
        <v>107</v>
      </c>
      <c r="E227" s="281"/>
      <c r="F227" s="281" t="s">
        <v>108</v>
      </c>
      <c r="G227" s="281"/>
    </row>
    <row r="228" spans="1:7" ht="18" customHeight="1" x14ac:dyDescent="0.25">
      <c r="A228" s="58">
        <v>1</v>
      </c>
      <c r="B228" s="281">
        <v>2</v>
      </c>
      <c r="C228" s="281"/>
      <c r="D228" s="281">
        <v>3</v>
      </c>
      <c r="E228" s="281"/>
      <c r="F228" s="281">
        <v>4</v>
      </c>
      <c r="G228" s="281"/>
    </row>
    <row r="229" spans="1:7" ht="18" customHeight="1" x14ac:dyDescent="0.25">
      <c r="A229" s="13"/>
      <c r="B229" s="319"/>
      <c r="C229" s="319"/>
      <c r="D229" s="319"/>
      <c r="E229" s="319"/>
      <c r="F229" s="320">
        <f>B229*D229</f>
        <v>0</v>
      </c>
      <c r="G229" s="320"/>
    </row>
    <row r="230" spans="1:7" ht="18" customHeight="1" x14ac:dyDescent="0.25">
      <c r="A230" s="13"/>
      <c r="B230" s="319"/>
      <c r="C230" s="319"/>
      <c r="D230" s="319"/>
      <c r="E230" s="319"/>
      <c r="F230" s="320"/>
      <c r="G230" s="320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8" t="s">
        <v>213</v>
      </c>
      <c r="B232" s="288"/>
      <c r="C232" s="288"/>
      <c r="D232" s="288"/>
      <c r="E232" s="288"/>
      <c r="F232" s="288"/>
      <c r="G232" s="288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81" t="s">
        <v>109</v>
      </c>
      <c r="C235" s="281"/>
      <c r="D235" s="281" t="s">
        <v>110</v>
      </c>
      <c r="E235" s="281"/>
      <c r="F235" s="281" t="s">
        <v>111</v>
      </c>
      <c r="G235" s="281"/>
    </row>
    <row r="236" spans="1:7" ht="18" customHeight="1" x14ac:dyDescent="0.25">
      <c r="A236" s="58">
        <v>1</v>
      </c>
      <c r="B236" s="281">
        <v>2</v>
      </c>
      <c r="C236" s="281"/>
      <c r="D236" s="281">
        <v>3</v>
      </c>
      <c r="E236" s="281"/>
      <c r="F236" s="281">
        <v>4</v>
      </c>
      <c r="G236" s="281"/>
    </row>
    <row r="237" spans="1:7" ht="18" customHeight="1" x14ac:dyDescent="0.25">
      <c r="A237" s="58"/>
      <c r="B237" s="263"/>
      <c r="C237" s="264"/>
      <c r="D237" s="263"/>
      <c r="E237" s="264"/>
      <c r="F237" s="263"/>
      <c r="G237" s="264"/>
    </row>
    <row r="238" spans="1:7" ht="18" customHeight="1" x14ac:dyDescent="0.25">
      <c r="A238" s="58" t="s">
        <v>245</v>
      </c>
      <c r="B238" s="263"/>
      <c r="C238" s="264"/>
      <c r="D238" s="263"/>
      <c r="E238" s="264"/>
      <c r="F238" s="261">
        <v>0</v>
      </c>
      <c r="G238" s="262"/>
    </row>
    <row r="239" spans="1:7" ht="18" customHeight="1" x14ac:dyDescent="0.25">
      <c r="A239" s="58"/>
      <c r="B239" s="263"/>
      <c r="C239" s="264"/>
      <c r="D239" s="263"/>
      <c r="E239" s="264"/>
      <c r="F239" s="263"/>
      <c r="G239" s="264"/>
    </row>
    <row r="240" spans="1:7" ht="18" customHeight="1" x14ac:dyDescent="0.25">
      <c r="A240" s="58" t="s">
        <v>246</v>
      </c>
      <c r="B240" s="263"/>
      <c r="C240" s="264"/>
      <c r="D240" s="263"/>
      <c r="E240" s="264"/>
      <c r="F240" s="261">
        <v>0</v>
      </c>
      <c r="G240" s="262"/>
    </row>
    <row r="241" spans="1:7" ht="18" customHeight="1" x14ac:dyDescent="0.25">
      <c r="A241" s="58"/>
      <c r="B241" s="263"/>
      <c r="C241" s="264"/>
      <c r="D241" s="263"/>
      <c r="E241" s="264"/>
      <c r="F241" s="263"/>
      <c r="G241" s="264"/>
    </row>
    <row r="242" spans="1:7" ht="18" customHeight="1" x14ac:dyDescent="0.25">
      <c r="A242" s="58" t="s">
        <v>247</v>
      </c>
      <c r="B242" s="263"/>
      <c r="C242" s="264"/>
      <c r="D242" s="263"/>
      <c r="E242" s="264"/>
      <c r="F242" s="261">
        <v>0</v>
      </c>
      <c r="G242" s="262"/>
    </row>
    <row r="243" spans="1:7" ht="18" customHeight="1" x14ac:dyDescent="0.25">
      <c r="A243" s="58"/>
      <c r="B243" s="263"/>
      <c r="C243" s="264"/>
      <c r="D243" s="263"/>
      <c r="E243" s="264"/>
      <c r="F243" s="263"/>
      <c r="G243" s="264"/>
    </row>
    <row r="244" spans="1:7" ht="18" customHeight="1" x14ac:dyDescent="0.25">
      <c r="A244" s="58" t="s">
        <v>248</v>
      </c>
      <c r="B244" s="263"/>
      <c r="C244" s="264"/>
      <c r="D244" s="263"/>
      <c r="E244" s="264"/>
      <c r="F244" s="261">
        <v>0</v>
      </c>
      <c r="G244" s="262"/>
    </row>
    <row r="245" spans="1:7" ht="18" customHeight="1" x14ac:dyDescent="0.25">
      <c r="A245" s="58"/>
      <c r="B245" s="263"/>
      <c r="C245" s="264"/>
      <c r="D245" s="263"/>
      <c r="E245" s="264"/>
      <c r="F245" s="263"/>
      <c r="G245" s="264"/>
    </row>
    <row r="246" spans="1:7" ht="18" customHeight="1" x14ac:dyDescent="0.25">
      <c r="A246" s="58" t="s">
        <v>249</v>
      </c>
      <c r="B246" s="263"/>
      <c r="C246" s="264"/>
      <c r="D246" s="263"/>
      <c r="E246" s="264"/>
      <c r="F246" s="261">
        <v>0</v>
      </c>
      <c r="G246" s="262"/>
    </row>
    <row r="247" spans="1:7" ht="18" customHeight="1" x14ac:dyDescent="0.25">
      <c r="A247" s="13"/>
      <c r="B247" s="319"/>
      <c r="C247" s="319"/>
      <c r="D247" s="319"/>
      <c r="E247" s="319"/>
      <c r="F247" s="320"/>
      <c r="G247" s="320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8" t="s">
        <v>214</v>
      </c>
      <c r="B249" s="288"/>
      <c r="C249" s="288"/>
      <c r="D249" s="288"/>
      <c r="E249" s="288"/>
      <c r="F249" s="288"/>
      <c r="G249" s="288"/>
    </row>
    <row r="250" spans="1:7" ht="41.45" customHeight="1" x14ac:dyDescent="0.25">
      <c r="A250" s="282" t="s">
        <v>215</v>
      </c>
      <c r="B250" s="282"/>
      <c r="C250" s="282"/>
      <c r="D250" s="282"/>
      <c r="E250" s="282"/>
      <c r="F250" s="282"/>
      <c r="G250" s="282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81" t="s">
        <v>160</v>
      </c>
      <c r="C254" s="281"/>
      <c r="D254" s="281" t="s">
        <v>122</v>
      </c>
      <c r="E254" s="281"/>
      <c r="F254" s="281" t="s">
        <v>161</v>
      </c>
      <c r="G254" s="281"/>
    </row>
    <row r="255" spans="1:7" ht="28.9" customHeight="1" x14ac:dyDescent="0.25">
      <c r="A255" s="58">
        <v>1</v>
      </c>
      <c r="B255" s="263">
        <v>2</v>
      </c>
      <c r="C255" s="264"/>
      <c r="D255" s="263">
        <v>3</v>
      </c>
      <c r="E255" s="264"/>
      <c r="F255" s="293">
        <v>4</v>
      </c>
      <c r="G255" s="294"/>
    </row>
    <row r="256" spans="1:7" ht="28.9" customHeight="1" x14ac:dyDescent="0.25">
      <c r="A256" s="13" t="s">
        <v>159</v>
      </c>
      <c r="B256" s="293"/>
      <c r="C256" s="294"/>
      <c r="D256" s="293"/>
      <c r="E256" s="294"/>
      <c r="F256" s="261">
        <f>B256*D256</f>
        <v>0</v>
      </c>
      <c r="G256" s="262"/>
    </row>
    <row r="257" spans="1:7" ht="28.9" customHeight="1" x14ac:dyDescent="0.25">
      <c r="A257" s="13" t="s">
        <v>120</v>
      </c>
      <c r="B257" s="293"/>
      <c r="C257" s="294"/>
      <c r="D257" s="293"/>
      <c r="E257" s="294"/>
      <c r="F257" s="340"/>
      <c r="G257" s="341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80" t="s">
        <v>216</v>
      </c>
      <c r="B259" s="280"/>
      <c r="C259" s="280"/>
      <c r="D259" s="280"/>
      <c r="E259" s="280"/>
      <c r="F259" s="280"/>
      <c r="G259" s="280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81" t="s">
        <v>121</v>
      </c>
      <c r="C263" s="281"/>
      <c r="D263" s="281" t="s">
        <v>122</v>
      </c>
      <c r="E263" s="281"/>
      <c r="F263" s="281" t="s">
        <v>186</v>
      </c>
      <c r="G263" s="281"/>
    </row>
    <row r="264" spans="1:7" ht="18.75" x14ac:dyDescent="0.25">
      <c r="A264" s="58">
        <v>1</v>
      </c>
      <c r="B264" s="263">
        <v>2</v>
      </c>
      <c r="C264" s="264"/>
      <c r="D264" s="263">
        <v>3</v>
      </c>
      <c r="E264" s="264"/>
      <c r="F264" s="293">
        <v>4</v>
      </c>
      <c r="G264" s="294"/>
    </row>
    <row r="265" spans="1:7" ht="37.5" x14ac:dyDescent="0.25">
      <c r="A265" s="13" t="s">
        <v>123</v>
      </c>
      <c r="B265" s="293"/>
      <c r="C265" s="294"/>
      <c r="D265" s="293"/>
      <c r="E265" s="294"/>
      <c r="F265" s="261">
        <f>B265*D265*12</f>
        <v>0</v>
      </c>
      <c r="G265" s="262"/>
    </row>
    <row r="266" spans="1:7" ht="18.75" x14ac:dyDescent="0.25">
      <c r="A266" s="13" t="s">
        <v>124</v>
      </c>
      <c r="B266" s="293"/>
      <c r="C266" s="294"/>
      <c r="D266" s="293"/>
      <c r="E266" s="294"/>
      <c r="F266" s="261">
        <f t="shared" ref="F266" si="0">B266*D266*12</f>
        <v>0</v>
      </c>
      <c r="G266" s="262"/>
    </row>
    <row r="267" spans="1:7" ht="18.75" x14ac:dyDescent="0.25">
      <c r="A267" s="13" t="s">
        <v>120</v>
      </c>
      <c r="B267" s="293"/>
      <c r="C267" s="294"/>
      <c r="D267" s="293"/>
      <c r="E267" s="294"/>
      <c r="F267" s="340"/>
      <c r="G267" s="341"/>
    </row>
    <row r="268" spans="1:7" x14ac:dyDescent="0.25">
      <c r="A268" s="23"/>
    </row>
    <row r="269" spans="1:7" ht="18.75" x14ac:dyDescent="0.25">
      <c r="A269" s="280" t="s">
        <v>217</v>
      </c>
      <c r="B269" s="280"/>
      <c r="C269" s="280"/>
      <c r="D269" s="280"/>
      <c r="E269" s="280"/>
      <c r="F269" s="280"/>
      <c r="G269" s="280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81" t="s">
        <v>125</v>
      </c>
      <c r="C273" s="281"/>
      <c r="D273" s="281" t="s">
        <v>93</v>
      </c>
      <c r="E273" s="281"/>
      <c r="F273" s="281" t="s">
        <v>186</v>
      </c>
      <c r="G273" s="281"/>
    </row>
    <row r="274" spans="1:7" ht="18.75" x14ac:dyDescent="0.25">
      <c r="A274" s="58">
        <v>1</v>
      </c>
      <c r="B274" s="263">
        <v>2</v>
      </c>
      <c r="C274" s="264"/>
      <c r="D274" s="263">
        <v>3</v>
      </c>
      <c r="E274" s="264"/>
      <c r="F274" s="263">
        <v>4</v>
      </c>
      <c r="G274" s="264"/>
    </row>
    <row r="275" spans="1:7" ht="18.75" x14ac:dyDescent="0.25">
      <c r="A275" s="13"/>
      <c r="B275" s="263"/>
      <c r="C275" s="264"/>
      <c r="D275" s="263"/>
      <c r="E275" s="264"/>
      <c r="F275" s="261">
        <f>B275*D275*12</f>
        <v>0</v>
      </c>
      <c r="G275" s="262"/>
    </row>
    <row r="276" spans="1:7" ht="18.75" x14ac:dyDescent="0.25">
      <c r="A276" s="13" t="s">
        <v>120</v>
      </c>
      <c r="B276" s="263"/>
      <c r="C276" s="264"/>
      <c r="D276" s="263"/>
      <c r="E276" s="264"/>
      <c r="F276" s="261">
        <f>B276*D276*12</f>
        <v>0</v>
      </c>
      <c r="G276" s="262"/>
    </row>
    <row r="277" spans="1:7" ht="18.75" x14ac:dyDescent="0.25">
      <c r="A277" s="8"/>
    </row>
    <row r="278" spans="1:7" ht="18.75" x14ac:dyDescent="0.25">
      <c r="A278" s="280" t="s">
        <v>218</v>
      </c>
      <c r="B278" s="280"/>
      <c r="C278" s="280"/>
      <c r="D278" s="280"/>
      <c r="E278" s="280"/>
      <c r="F278" s="280"/>
      <c r="G278" s="280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81" t="s">
        <v>126</v>
      </c>
      <c r="C282" s="281"/>
      <c r="D282" s="281" t="s">
        <v>127</v>
      </c>
      <c r="E282" s="281"/>
      <c r="F282" s="281" t="s">
        <v>94</v>
      </c>
      <c r="G282" s="281"/>
    </row>
    <row r="283" spans="1:7" ht="18.75" x14ac:dyDescent="0.25">
      <c r="A283" s="58">
        <v>1</v>
      </c>
      <c r="B283" s="263">
        <v>2</v>
      </c>
      <c r="C283" s="264"/>
      <c r="D283" s="263">
        <v>3</v>
      </c>
      <c r="E283" s="264"/>
      <c r="F283" s="263">
        <v>4</v>
      </c>
      <c r="G283" s="264"/>
    </row>
    <row r="284" spans="1:7" ht="75" x14ac:dyDescent="0.25">
      <c r="A284" s="13" t="s">
        <v>18</v>
      </c>
      <c r="B284" s="263"/>
      <c r="C284" s="264"/>
      <c r="D284" s="263"/>
      <c r="E284" s="264"/>
      <c r="F284" s="261">
        <f>B284*D284</f>
        <v>0</v>
      </c>
      <c r="G284" s="262"/>
    </row>
    <row r="285" spans="1:7" ht="37.5" x14ac:dyDescent="0.25">
      <c r="A285" s="13" t="s">
        <v>19</v>
      </c>
      <c r="B285" s="263"/>
      <c r="C285" s="264"/>
      <c r="D285" s="263"/>
      <c r="E285" s="264"/>
      <c r="F285" s="261">
        <f t="shared" ref="F285:F288" si="1">B285*D285</f>
        <v>0</v>
      </c>
      <c r="G285" s="262"/>
    </row>
    <row r="286" spans="1:7" ht="75" x14ac:dyDescent="0.25">
      <c r="A286" s="13" t="s">
        <v>20</v>
      </c>
      <c r="B286" s="263"/>
      <c r="C286" s="264"/>
      <c r="D286" s="263"/>
      <c r="E286" s="264"/>
      <c r="F286" s="261">
        <f t="shared" si="1"/>
        <v>0</v>
      </c>
      <c r="G286" s="262"/>
    </row>
    <row r="287" spans="1:7" ht="75" x14ac:dyDescent="0.25">
      <c r="A287" s="13" t="s">
        <v>21</v>
      </c>
      <c r="B287" s="263"/>
      <c r="C287" s="264"/>
      <c r="D287" s="263"/>
      <c r="E287" s="264"/>
      <c r="F287" s="261">
        <f t="shared" si="1"/>
        <v>0</v>
      </c>
      <c r="G287" s="262"/>
    </row>
    <row r="288" spans="1:7" ht="56.25" x14ac:dyDescent="0.25">
      <c r="A288" s="24" t="s">
        <v>22</v>
      </c>
      <c r="B288" s="263"/>
      <c r="C288" s="264"/>
      <c r="D288" s="263"/>
      <c r="E288" s="264"/>
      <c r="F288" s="261">
        <f t="shared" si="1"/>
        <v>0</v>
      </c>
      <c r="G288" s="262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5" t="s">
        <v>219</v>
      </c>
      <c r="B290" s="345"/>
      <c r="C290" s="345"/>
      <c r="D290" s="345"/>
      <c r="E290" s="345"/>
      <c r="F290" s="345"/>
      <c r="G290" s="345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81" t="s">
        <v>128</v>
      </c>
      <c r="C294" s="281"/>
      <c r="D294" s="281" t="s">
        <v>148</v>
      </c>
      <c r="E294" s="281"/>
      <c r="F294" s="281" t="s">
        <v>129</v>
      </c>
      <c r="G294" s="281"/>
    </row>
    <row r="295" spans="1:7" ht="18.75" x14ac:dyDescent="0.25">
      <c r="A295" s="58">
        <v>1</v>
      </c>
      <c r="B295" s="263">
        <v>2</v>
      </c>
      <c r="C295" s="264"/>
      <c r="D295" s="263">
        <v>3</v>
      </c>
      <c r="E295" s="264"/>
      <c r="F295" s="263">
        <v>4</v>
      </c>
      <c r="G295" s="264"/>
    </row>
    <row r="296" spans="1:7" ht="37.5" x14ac:dyDescent="0.25">
      <c r="A296" s="13" t="s">
        <v>130</v>
      </c>
      <c r="B296" s="263"/>
      <c r="C296" s="264"/>
      <c r="D296" s="263"/>
      <c r="E296" s="264"/>
      <c r="F296" s="261">
        <f>B296*D296</f>
        <v>0</v>
      </c>
      <c r="G296" s="262"/>
    </row>
    <row r="297" spans="1:7" ht="18.75" x14ac:dyDescent="0.25">
      <c r="A297" s="13" t="s">
        <v>118</v>
      </c>
      <c r="B297" s="263"/>
      <c r="C297" s="264"/>
      <c r="D297" s="263"/>
      <c r="E297" s="264"/>
      <c r="F297" s="261">
        <f>B297*D297</f>
        <v>0</v>
      </c>
      <c r="G297" s="262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82" t="s">
        <v>220</v>
      </c>
      <c r="B299" s="282"/>
      <c r="C299" s="282"/>
      <c r="D299" s="282"/>
      <c r="E299" s="282"/>
      <c r="F299" s="282"/>
      <c r="G299" s="282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81" t="s">
        <v>86</v>
      </c>
      <c r="B303" s="281"/>
      <c r="C303" s="281"/>
      <c r="D303" s="281" t="s">
        <v>131</v>
      </c>
      <c r="E303" s="281"/>
      <c r="F303" s="281" t="s">
        <v>132</v>
      </c>
      <c r="G303" s="281"/>
    </row>
    <row r="304" spans="1:7" ht="18.75" x14ac:dyDescent="0.3">
      <c r="A304" s="281">
        <v>1</v>
      </c>
      <c r="B304" s="281"/>
      <c r="C304" s="281"/>
      <c r="D304" s="254">
        <v>2</v>
      </c>
      <c r="E304" s="255"/>
      <c r="F304" s="254">
        <v>3</v>
      </c>
      <c r="G304" s="255"/>
    </row>
    <row r="305" spans="1:7" ht="43.15" customHeight="1" x14ac:dyDescent="0.25">
      <c r="A305" s="253" t="s">
        <v>163</v>
      </c>
      <c r="B305" s="253"/>
      <c r="C305" s="253"/>
      <c r="D305" s="289"/>
      <c r="E305" s="290"/>
      <c r="F305" s="305">
        <v>0</v>
      </c>
      <c r="G305" s="306"/>
    </row>
    <row r="306" spans="1:7" ht="18.75" x14ac:dyDescent="0.25">
      <c r="A306" s="258" t="s">
        <v>120</v>
      </c>
      <c r="B306" s="259"/>
      <c r="C306" s="260"/>
      <c r="D306" s="289"/>
      <c r="E306" s="290"/>
      <c r="F306" s="342"/>
      <c r="G306" s="344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81" t="s">
        <v>86</v>
      </c>
      <c r="B310" s="281"/>
      <c r="C310" s="281"/>
      <c r="D310" s="281" t="s">
        <v>131</v>
      </c>
      <c r="E310" s="281"/>
      <c r="F310" s="281" t="s">
        <v>132</v>
      </c>
      <c r="G310" s="281"/>
    </row>
    <row r="311" spans="1:7" ht="18.75" x14ac:dyDescent="0.3">
      <c r="A311" s="281">
        <v>1</v>
      </c>
      <c r="B311" s="281"/>
      <c r="C311" s="281"/>
      <c r="D311" s="254">
        <v>2</v>
      </c>
      <c r="E311" s="255"/>
      <c r="F311" s="254">
        <v>3</v>
      </c>
      <c r="G311" s="255"/>
    </row>
    <row r="312" spans="1:7" ht="34.15" customHeight="1" x14ac:dyDescent="0.25">
      <c r="A312" s="253" t="s">
        <v>133</v>
      </c>
      <c r="B312" s="253"/>
      <c r="C312" s="253"/>
      <c r="D312" s="289"/>
      <c r="E312" s="290"/>
      <c r="F312" s="305">
        <v>0</v>
      </c>
      <c r="G312" s="306"/>
    </row>
    <row r="313" spans="1:7" ht="34.15" customHeight="1" x14ac:dyDescent="0.25">
      <c r="A313" s="253" t="s">
        <v>134</v>
      </c>
      <c r="B313" s="253"/>
      <c r="C313" s="253"/>
      <c r="D313" s="289"/>
      <c r="E313" s="290"/>
      <c r="F313" s="305">
        <v>0</v>
      </c>
      <c r="G313" s="306"/>
    </row>
    <row r="314" spans="1:7" ht="34.15" customHeight="1" x14ac:dyDescent="0.25">
      <c r="A314" s="253" t="s">
        <v>135</v>
      </c>
      <c r="B314" s="253"/>
      <c r="C314" s="253"/>
      <c r="D314" s="289"/>
      <c r="E314" s="290"/>
      <c r="F314" s="305">
        <v>0</v>
      </c>
      <c r="G314" s="306"/>
    </row>
    <row r="315" spans="1:7" ht="34.15" customHeight="1" x14ac:dyDescent="0.25">
      <c r="A315" s="253" t="s">
        <v>136</v>
      </c>
      <c r="B315" s="253"/>
      <c r="C315" s="253"/>
      <c r="D315" s="289"/>
      <c r="E315" s="290"/>
      <c r="F315" s="305">
        <v>0</v>
      </c>
      <c r="G315" s="306"/>
    </row>
    <row r="316" spans="1:7" ht="18.75" x14ac:dyDescent="0.25">
      <c r="A316" s="258" t="s">
        <v>120</v>
      </c>
      <c r="B316" s="259"/>
      <c r="C316" s="260"/>
      <c r="D316" s="289"/>
      <c r="E316" s="290"/>
      <c r="F316" s="342"/>
      <c r="G316" s="344"/>
    </row>
    <row r="317" spans="1:7" ht="18.75" x14ac:dyDescent="0.25">
      <c r="A317" s="29"/>
    </row>
    <row r="318" spans="1:7" ht="18.75" x14ac:dyDescent="0.25">
      <c r="A318" s="280" t="s">
        <v>221</v>
      </c>
      <c r="B318" s="280"/>
      <c r="C318" s="280"/>
      <c r="D318" s="280"/>
      <c r="E318" s="280"/>
      <c r="F318" s="280"/>
      <c r="G318" s="280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81" t="s">
        <v>86</v>
      </c>
      <c r="B322" s="281"/>
      <c r="C322" s="281"/>
      <c r="D322" s="281" t="s">
        <v>137</v>
      </c>
      <c r="E322" s="281"/>
      <c r="F322" s="281" t="s">
        <v>138</v>
      </c>
      <c r="G322" s="281"/>
    </row>
    <row r="323" spans="1:7" ht="18.75" x14ac:dyDescent="0.3">
      <c r="A323" s="263">
        <v>1</v>
      </c>
      <c r="B323" s="292"/>
      <c r="C323" s="264"/>
      <c r="D323" s="254">
        <v>2</v>
      </c>
      <c r="E323" s="255"/>
      <c r="F323" s="254">
        <v>3</v>
      </c>
      <c r="G323" s="255"/>
    </row>
    <row r="324" spans="1:7" ht="38.450000000000003" customHeight="1" x14ac:dyDescent="0.25">
      <c r="A324" s="258" t="s">
        <v>162</v>
      </c>
      <c r="B324" s="259"/>
      <c r="C324" s="260"/>
      <c r="D324" s="289"/>
      <c r="E324" s="290"/>
      <c r="F324" s="305">
        <v>0</v>
      </c>
      <c r="G324" s="306"/>
    </row>
    <row r="325" spans="1:7" ht="18.75" x14ac:dyDescent="0.25">
      <c r="A325" s="258" t="s">
        <v>120</v>
      </c>
      <c r="B325" s="259"/>
      <c r="C325" s="260"/>
      <c r="D325" s="289"/>
      <c r="E325" s="290"/>
      <c r="F325" s="342"/>
      <c r="G325" s="344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81" t="s">
        <v>86</v>
      </c>
      <c r="B329" s="281"/>
      <c r="C329" s="281"/>
      <c r="D329" s="281" t="s">
        <v>137</v>
      </c>
      <c r="E329" s="281"/>
      <c r="F329" s="281" t="s">
        <v>138</v>
      </c>
      <c r="G329" s="281"/>
    </row>
    <row r="330" spans="1:7" ht="18.75" x14ac:dyDescent="0.3">
      <c r="A330" s="263">
        <v>1</v>
      </c>
      <c r="B330" s="292"/>
      <c r="C330" s="264"/>
      <c r="D330" s="254">
        <v>2</v>
      </c>
      <c r="E330" s="255"/>
      <c r="F330" s="254">
        <v>3</v>
      </c>
      <c r="G330" s="255"/>
    </row>
    <row r="331" spans="1:7" ht="18.75" x14ac:dyDescent="0.25">
      <c r="A331" s="258" t="s">
        <v>139</v>
      </c>
      <c r="B331" s="259"/>
      <c r="C331" s="260"/>
      <c r="D331" s="289"/>
      <c r="E331" s="290"/>
      <c r="F331" s="305">
        <v>0</v>
      </c>
      <c r="G331" s="306"/>
    </row>
    <row r="332" spans="1:7" ht="18.75" x14ac:dyDescent="0.25">
      <c r="A332" s="258" t="s">
        <v>140</v>
      </c>
      <c r="B332" s="259"/>
      <c r="C332" s="260"/>
      <c r="D332" s="289"/>
      <c r="E332" s="290"/>
      <c r="F332" s="305">
        <v>0</v>
      </c>
      <c r="G332" s="306"/>
    </row>
    <row r="333" spans="1:7" ht="18.75" x14ac:dyDescent="0.25">
      <c r="A333" s="258" t="s">
        <v>141</v>
      </c>
      <c r="B333" s="259"/>
      <c r="C333" s="260"/>
      <c r="D333" s="289"/>
      <c r="E333" s="290"/>
      <c r="F333" s="305">
        <v>0</v>
      </c>
      <c r="G333" s="306"/>
    </row>
    <row r="334" spans="1:7" ht="18.75" x14ac:dyDescent="0.25">
      <c r="A334" s="258" t="s">
        <v>120</v>
      </c>
      <c r="B334" s="259"/>
      <c r="C334" s="260"/>
      <c r="D334" s="289"/>
      <c r="E334" s="290"/>
      <c r="F334" s="342"/>
      <c r="G334" s="344"/>
    </row>
    <row r="335" spans="1:7" ht="18.75" x14ac:dyDescent="0.25">
      <c r="A335" s="8"/>
    </row>
    <row r="336" spans="1:7" ht="18.75" x14ac:dyDescent="0.25">
      <c r="A336" s="280" t="s">
        <v>222</v>
      </c>
      <c r="B336" s="280"/>
      <c r="C336" s="280"/>
      <c r="D336" s="280"/>
      <c r="E336" s="280"/>
      <c r="F336" s="280"/>
      <c r="G336" s="280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63" t="s">
        <v>86</v>
      </c>
      <c r="B340" s="264"/>
      <c r="C340" s="263" t="s">
        <v>137</v>
      </c>
      <c r="D340" s="264"/>
      <c r="E340" s="263" t="s">
        <v>138</v>
      </c>
      <c r="F340" s="292"/>
      <c r="G340" s="264"/>
    </row>
    <row r="341" spans="1:7" ht="18.75" x14ac:dyDescent="0.3">
      <c r="A341" s="263">
        <v>1</v>
      </c>
      <c r="B341" s="264"/>
      <c r="C341" s="263">
        <v>2</v>
      </c>
      <c r="D341" s="264"/>
      <c r="E341" s="254">
        <v>3</v>
      </c>
      <c r="F341" s="291"/>
      <c r="G341" s="255"/>
    </row>
    <row r="342" spans="1:7" ht="18.75" x14ac:dyDescent="0.25">
      <c r="A342" s="258" t="s">
        <v>25</v>
      </c>
      <c r="B342" s="260"/>
      <c r="C342" s="263"/>
      <c r="D342" s="264"/>
      <c r="E342" s="305">
        <v>0</v>
      </c>
      <c r="F342" s="351"/>
      <c r="G342" s="306"/>
    </row>
    <row r="343" spans="1:7" ht="18.75" x14ac:dyDescent="0.25">
      <c r="A343" s="258" t="s">
        <v>120</v>
      </c>
      <c r="B343" s="260"/>
      <c r="C343" s="263"/>
      <c r="D343" s="264"/>
      <c r="E343" s="342"/>
      <c r="F343" s="343"/>
      <c r="G343" s="344"/>
    </row>
    <row r="344" spans="1:7" x14ac:dyDescent="0.25">
      <c r="A344" s="23"/>
    </row>
    <row r="345" spans="1:7" ht="43.15" customHeight="1" x14ac:dyDescent="0.25">
      <c r="A345" s="288" t="s">
        <v>223</v>
      </c>
      <c r="B345" s="288"/>
      <c r="C345" s="288"/>
      <c r="D345" s="288"/>
      <c r="E345" s="288"/>
      <c r="F345" s="288"/>
      <c r="G345" s="288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81" t="s">
        <v>142</v>
      </c>
      <c r="C349" s="281"/>
      <c r="D349" s="281" t="s">
        <v>143</v>
      </c>
      <c r="E349" s="281"/>
      <c r="F349" s="281" t="s">
        <v>149</v>
      </c>
      <c r="G349" s="281"/>
    </row>
    <row r="350" spans="1:7" ht="18.75" x14ac:dyDescent="0.25">
      <c r="A350" s="58">
        <v>1</v>
      </c>
      <c r="B350" s="263">
        <v>2</v>
      </c>
      <c r="C350" s="264"/>
      <c r="D350" s="263">
        <v>3</v>
      </c>
      <c r="E350" s="264"/>
      <c r="F350" s="263">
        <v>4</v>
      </c>
      <c r="G350" s="264"/>
    </row>
    <row r="351" spans="1:7" ht="18.75" x14ac:dyDescent="0.25">
      <c r="A351" s="58"/>
      <c r="B351" s="263"/>
      <c r="C351" s="264"/>
      <c r="D351" s="263"/>
      <c r="E351" s="264"/>
      <c r="F351" s="261">
        <f t="shared" ref="F351:F352" si="2">B351*D351</f>
        <v>0</v>
      </c>
      <c r="G351" s="262"/>
    </row>
    <row r="352" spans="1:7" ht="18.75" x14ac:dyDescent="0.25">
      <c r="A352" s="60" t="s">
        <v>248</v>
      </c>
      <c r="B352" s="263"/>
      <c r="C352" s="264"/>
      <c r="D352" s="263"/>
      <c r="E352" s="264"/>
      <c r="F352" s="261">
        <f t="shared" si="2"/>
        <v>0</v>
      </c>
      <c r="G352" s="262"/>
    </row>
    <row r="353" spans="1:7" ht="18.75" x14ac:dyDescent="0.25">
      <c r="A353" s="60"/>
      <c r="B353" s="263"/>
      <c r="C353" s="264"/>
      <c r="D353" s="263"/>
      <c r="E353" s="264"/>
      <c r="F353" s="261">
        <f>B353*D353</f>
        <v>0</v>
      </c>
      <c r="G353" s="262"/>
    </row>
    <row r="354" spans="1:7" ht="18.75" x14ac:dyDescent="0.25">
      <c r="A354" s="13" t="s">
        <v>249</v>
      </c>
      <c r="B354" s="263"/>
      <c r="C354" s="264"/>
      <c r="D354" s="263"/>
      <c r="E354" s="264"/>
      <c r="F354" s="261">
        <f>B354*D354</f>
        <v>0</v>
      </c>
      <c r="G354" s="262"/>
    </row>
    <row r="355" spans="1:7" ht="18.75" x14ac:dyDescent="0.25">
      <c r="A355" s="8"/>
    </row>
    <row r="356" spans="1:7" ht="18.75" x14ac:dyDescent="0.25">
      <c r="A356" s="280" t="s">
        <v>224</v>
      </c>
      <c r="B356" s="280"/>
      <c r="C356" s="280"/>
      <c r="D356" s="280"/>
      <c r="E356" s="280"/>
      <c r="F356" s="280"/>
      <c r="G356" s="280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81" t="s">
        <v>142</v>
      </c>
      <c r="C360" s="281"/>
      <c r="D360" s="281" t="s">
        <v>143</v>
      </c>
      <c r="E360" s="281"/>
      <c r="F360" s="281" t="s">
        <v>150</v>
      </c>
      <c r="G360" s="281"/>
    </row>
    <row r="361" spans="1:7" ht="18.75" x14ac:dyDescent="0.25">
      <c r="A361" s="58">
        <v>1</v>
      </c>
      <c r="B361" s="263">
        <v>2</v>
      </c>
      <c r="C361" s="264"/>
      <c r="D361" s="263">
        <v>3</v>
      </c>
      <c r="E361" s="264"/>
      <c r="F361" s="263">
        <v>4</v>
      </c>
      <c r="G361" s="264"/>
    </row>
    <row r="362" spans="1:7" ht="56.25" x14ac:dyDescent="0.25">
      <c r="A362" s="13" t="s">
        <v>144</v>
      </c>
      <c r="B362" s="263"/>
      <c r="C362" s="264"/>
      <c r="D362" s="263"/>
      <c r="E362" s="264"/>
      <c r="F362" s="261">
        <f>B362*D362</f>
        <v>0</v>
      </c>
      <c r="G362" s="262"/>
    </row>
    <row r="363" spans="1:7" ht="18.75" x14ac:dyDescent="0.25">
      <c r="A363" s="13" t="s">
        <v>120</v>
      </c>
      <c r="B363" s="263"/>
      <c r="C363" s="264"/>
      <c r="D363" s="263"/>
      <c r="E363" s="264"/>
      <c r="F363" s="261">
        <f>B363*D363</f>
        <v>0</v>
      </c>
      <c r="G363" s="262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81" t="s">
        <v>142</v>
      </c>
      <c r="C369" s="281"/>
      <c r="D369" s="281" t="s">
        <v>143</v>
      </c>
      <c r="E369" s="281"/>
      <c r="F369" s="281" t="s">
        <v>150</v>
      </c>
      <c r="G369" s="281"/>
    </row>
    <row r="370" spans="1:7" ht="18.75" x14ac:dyDescent="0.25">
      <c r="A370" s="58">
        <v>1</v>
      </c>
      <c r="B370" s="263">
        <v>2</v>
      </c>
      <c r="C370" s="264"/>
      <c r="D370" s="263">
        <v>3</v>
      </c>
      <c r="E370" s="264"/>
      <c r="F370" s="263">
        <v>4</v>
      </c>
      <c r="G370" s="264"/>
    </row>
    <row r="371" spans="1:7" ht="18.75" x14ac:dyDescent="0.25">
      <c r="A371" s="13"/>
      <c r="B371" s="263"/>
      <c r="C371" s="264"/>
      <c r="D371" s="263"/>
      <c r="E371" s="264"/>
      <c r="F371" s="261">
        <f>B371*D371</f>
        <v>0</v>
      </c>
      <c r="G371" s="262"/>
    </row>
    <row r="372" spans="1:7" ht="18.75" x14ac:dyDescent="0.25">
      <c r="A372" s="13" t="s">
        <v>120</v>
      </c>
      <c r="B372" s="263"/>
      <c r="C372" s="264"/>
      <c r="D372" s="263"/>
      <c r="E372" s="264"/>
      <c r="F372" s="261"/>
      <c r="G372" s="262"/>
    </row>
    <row r="373" spans="1:7" ht="18.75" x14ac:dyDescent="0.25">
      <c r="A373" s="8"/>
    </row>
    <row r="374" spans="1:7" ht="31.9" customHeight="1" x14ac:dyDescent="0.25">
      <c r="A374" s="288" t="s">
        <v>251</v>
      </c>
      <c r="B374" s="288"/>
      <c r="C374" s="288"/>
      <c r="D374" s="288"/>
      <c r="E374" s="288"/>
      <c r="F374" s="288"/>
      <c r="G374" s="288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81" t="s">
        <v>142</v>
      </c>
      <c r="C378" s="281"/>
      <c r="D378" s="281" t="s">
        <v>143</v>
      </c>
      <c r="E378" s="281"/>
      <c r="F378" s="281" t="s">
        <v>150</v>
      </c>
      <c r="G378" s="281"/>
    </row>
    <row r="379" spans="1:7" ht="18.75" x14ac:dyDescent="0.25">
      <c r="A379" s="58">
        <v>1</v>
      </c>
      <c r="B379" s="263">
        <v>2</v>
      </c>
      <c r="C379" s="264"/>
      <c r="D379" s="263">
        <v>3</v>
      </c>
      <c r="E379" s="264"/>
      <c r="F379" s="263">
        <v>4</v>
      </c>
      <c r="G379" s="264"/>
    </row>
    <row r="380" spans="1:7" ht="18.75" x14ac:dyDescent="0.25">
      <c r="A380" s="13"/>
      <c r="B380" s="293"/>
      <c r="C380" s="294"/>
      <c r="D380" s="293"/>
      <c r="E380" s="294"/>
      <c r="F380" s="340"/>
      <c r="G380" s="341"/>
    </row>
    <row r="381" spans="1:7" ht="18.75" x14ac:dyDescent="0.25">
      <c r="A381" s="13" t="s">
        <v>237</v>
      </c>
      <c r="B381" s="293"/>
      <c r="C381" s="294"/>
      <c r="D381" s="293"/>
      <c r="E381" s="294"/>
      <c r="F381" s="261">
        <f t="shared" ref="F381:F393" si="3">B381*D381</f>
        <v>0</v>
      </c>
      <c r="G381" s="262"/>
    </row>
    <row r="382" spans="1:7" ht="18.75" x14ac:dyDescent="0.25">
      <c r="A382" s="13"/>
      <c r="B382" s="293"/>
      <c r="C382" s="294"/>
      <c r="D382" s="293"/>
      <c r="E382" s="294"/>
      <c r="F382" s="261"/>
      <c r="G382" s="262"/>
    </row>
    <row r="383" spans="1:7" ht="18.75" x14ac:dyDescent="0.25">
      <c r="A383" s="13" t="s">
        <v>238</v>
      </c>
      <c r="B383" s="293"/>
      <c r="C383" s="294"/>
      <c r="D383" s="293"/>
      <c r="E383" s="294"/>
      <c r="F383" s="261">
        <f t="shared" si="3"/>
        <v>0</v>
      </c>
      <c r="G383" s="262"/>
    </row>
    <row r="384" spans="1:7" ht="18.75" x14ac:dyDescent="0.25">
      <c r="A384" s="13"/>
      <c r="B384" s="293"/>
      <c r="C384" s="294"/>
      <c r="D384" s="293"/>
      <c r="E384" s="294"/>
      <c r="F384" s="261"/>
      <c r="G384" s="262"/>
    </row>
    <row r="385" spans="1:7" ht="18.75" x14ac:dyDescent="0.25">
      <c r="A385" s="13" t="s">
        <v>239</v>
      </c>
      <c r="B385" s="293"/>
      <c r="C385" s="294"/>
      <c r="D385" s="293"/>
      <c r="E385" s="294"/>
      <c r="F385" s="261">
        <f t="shared" si="3"/>
        <v>0</v>
      </c>
      <c r="G385" s="262"/>
    </row>
    <row r="386" spans="1:7" ht="18.75" x14ac:dyDescent="0.25">
      <c r="A386" s="13"/>
      <c r="B386" s="293"/>
      <c r="C386" s="294"/>
      <c r="D386" s="293"/>
      <c r="E386" s="294"/>
      <c r="F386" s="261"/>
      <c r="G386" s="262"/>
    </row>
    <row r="387" spans="1:7" ht="18.75" x14ac:dyDescent="0.25">
      <c r="A387" s="13" t="s">
        <v>240</v>
      </c>
      <c r="B387" s="293"/>
      <c r="C387" s="294"/>
      <c r="D387" s="293"/>
      <c r="E387" s="294"/>
      <c r="F387" s="261">
        <f t="shared" si="3"/>
        <v>0</v>
      </c>
      <c r="G387" s="262"/>
    </row>
    <row r="388" spans="1:7" ht="18.75" x14ac:dyDescent="0.25">
      <c r="A388" s="13"/>
      <c r="B388" s="293"/>
      <c r="C388" s="294"/>
      <c r="D388" s="293"/>
      <c r="E388" s="294"/>
      <c r="F388" s="261"/>
      <c r="G388" s="262"/>
    </row>
    <row r="389" spans="1:7" ht="18.75" x14ac:dyDescent="0.25">
      <c r="A389" s="13" t="s">
        <v>241</v>
      </c>
      <c r="B389" s="293"/>
      <c r="C389" s="294"/>
      <c r="D389" s="293"/>
      <c r="E389" s="294"/>
      <c r="F389" s="261">
        <f t="shared" si="3"/>
        <v>0</v>
      </c>
      <c r="G389" s="262"/>
    </row>
    <row r="390" spans="1:7" ht="18.75" x14ac:dyDescent="0.25">
      <c r="A390" s="13"/>
      <c r="B390" s="293"/>
      <c r="C390" s="294"/>
      <c r="D390" s="293"/>
      <c r="E390" s="294"/>
      <c r="F390" s="261"/>
      <c r="G390" s="262"/>
    </row>
    <row r="391" spans="1:7" ht="18.75" x14ac:dyDescent="0.25">
      <c r="A391" s="13" t="s">
        <v>242</v>
      </c>
      <c r="B391" s="293"/>
      <c r="C391" s="294"/>
      <c r="D391" s="293"/>
      <c r="E391" s="294"/>
      <c r="F391" s="261">
        <f t="shared" si="3"/>
        <v>0</v>
      </c>
      <c r="G391" s="262"/>
    </row>
    <row r="392" spans="1:7" ht="18.75" x14ac:dyDescent="0.25">
      <c r="A392" s="13"/>
      <c r="B392" s="293"/>
      <c r="C392" s="294"/>
      <c r="D392" s="293"/>
      <c r="E392" s="294"/>
      <c r="F392" s="261"/>
      <c r="G392" s="262"/>
    </row>
    <row r="393" spans="1:7" ht="18.75" x14ac:dyDescent="0.25">
      <c r="A393" s="13" t="s">
        <v>243</v>
      </c>
      <c r="B393" s="293"/>
      <c r="C393" s="294"/>
      <c r="D393" s="293"/>
      <c r="E393" s="294"/>
      <c r="F393" s="261">
        <f t="shared" si="3"/>
        <v>0</v>
      </c>
      <c r="G393" s="262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7"/>
      <c r="D396" s="227"/>
      <c r="E396" s="10"/>
      <c r="F396" s="227"/>
      <c r="G396" s="227"/>
    </row>
    <row r="397" spans="1:7" ht="18.75" x14ac:dyDescent="0.3">
      <c r="A397" s="29"/>
      <c r="B397" s="10"/>
      <c r="C397" s="226" t="s">
        <v>53</v>
      </c>
      <c r="D397" s="226"/>
      <c r="E397" s="10"/>
      <c r="F397" s="226" t="s">
        <v>54</v>
      </c>
      <c r="G397" s="226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7"/>
      <c r="D399" s="227"/>
      <c r="E399" s="10"/>
      <c r="F399" s="227"/>
      <c r="G399" s="227"/>
    </row>
    <row r="400" spans="1:7" ht="18.75" x14ac:dyDescent="0.3">
      <c r="A400" s="29"/>
      <c r="B400" s="10"/>
      <c r="C400" s="226" t="s">
        <v>53</v>
      </c>
      <c r="D400" s="226"/>
      <c r="E400" s="10"/>
      <c r="F400" s="226" t="s">
        <v>54</v>
      </c>
      <c r="G400" s="226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7"/>
      <c r="D402" s="227"/>
      <c r="E402" s="10"/>
      <c r="F402" s="227"/>
      <c r="G402" s="227"/>
    </row>
    <row r="403" spans="1:7" ht="18.75" x14ac:dyDescent="0.3">
      <c r="A403" s="29"/>
      <c r="B403" s="10"/>
      <c r="C403" s="226" t="s">
        <v>53</v>
      </c>
      <c r="D403" s="226"/>
      <c r="E403" s="10"/>
      <c r="F403" s="226" t="s">
        <v>54</v>
      </c>
      <c r="G403" s="226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25" t="s">
        <v>44</v>
      </c>
      <c r="B405" s="225"/>
      <c r="C405" s="10"/>
      <c r="D405" s="10"/>
      <c r="E405" s="10"/>
      <c r="F405" s="10"/>
      <c r="G405" s="10"/>
    </row>
  </sheetData>
  <mergeCells count="594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9"/>
  <sheetViews>
    <sheetView view="pageBreakPreview" topLeftCell="A268" zoomScale="85" zoomScaleNormal="85" zoomScaleSheetLayoutView="85" workbookViewId="0">
      <selection activeCell="E287" sqref="E287:G287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95" t="s">
        <v>459</v>
      </c>
      <c r="B1" s="295"/>
      <c r="C1" s="295"/>
      <c r="D1" s="295"/>
      <c r="E1" s="295"/>
      <c r="F1" s="295"/>
      <c r="G1" s="295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95" t="s">
        <v>391</v>
      </c>
      <c r="B3" s="295"/>
      <c r="C3" s="295"/>
      <c r="D3" s="295"/>
      <c r="E3" s="295"/>
      <c r="F3" s="295"/>
      <c r="G3" s="295"/>
    </row>
    <row r="4" spans="1:7" ht="18.75" customHeight="1" x14ac:dyDescent="0.25">
      <c r="A4" s="105"/>
    </row>
    <row r="5" spans="1:7" ht="43.9" customHeight="1" x14ac:dyDescent="0.25">
      <c r="A5" s="295" t="s">
        <v>174</v>
      </c>
      <c r="B5" s="295"/>
      <c r="C5" s="295"/>
      <c r="D5" s="295"/>
      <c r="E5" s="295"/>
      <c r="F5" s="295"/>
      <c r="G5" s="295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81" t="s">
        <v>172</v>
      </c>
      <c r="C9" s="281"/>
      <c r="D9" s="281" t="s">
        <v>173</v>
      </c>
      <c r="E9" s="281"/>
      <c r="F9" s="281" t="s">
        <v>171</v>
      </c>
      <c r="G9" s="281"/>
    </row>
    <row r="10" spans="1:7" ht="18.75" x14ac:dyDescent="0.25">
      <c r="A10" s="106">
        <v>1</v>
      </c>
      <c r="B10" s="281">
        <v>2</v>
      </c>
      <c r="C10" s="281"/>
      <c r="D10" s="281">
        <v>3</v>
      </c>
      <c r="E10" s="281"/>
      <c r="F10" s="281">
        <v>4</v>
      </c>
      <c r="G10" s="281"/>
    </row>
    <row r="11" spans="1:7" ht="56.25" x14ac:dyDescent="0.25">
      <c r="A11" s="13" t="s">
        <v>69</v>
      </c>
      <c r="B11" s="281" t="s">
        <v>117</v>
      </c>
      <c r="C11" s="281"/>
      <c r="D11" s="281" t="s">
        <v>117</v>
      </c>
      <c r="E11" s="281"/>
      <c r="F11" s="287">
        <f>'гос.зад на 2023 год '!D12</f>
        <v>165428032.41999999</v>
      </c>
      <c r="G11" s="287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95" t="s">
        <v>392</v>
      </c>
      <c r="B13" s="295"/>
      <c r="C13" s="295"/>
      <c r="D13" s="295"/>
      <c r="E13" s="295"/>
      <c r="F13" s="295"/>
      <c r="G13" s="295"/>
    </row>
    <row r="14" spans="1:7" ht="18.75" x14ac:dyDescent="0.25">
      <c r="A14" s="8"/>
    </row>
    <row r="15" spans="1:7" ht="18.75" x14ac:dyDescent="0.25">
      <c r="A15" s="280" t="s">
        <v>189</v>
      </c>
      <c r="B15" s="280"/>
      <c r="C15" s="280"/>
      <c r="D15" s="280"/>
      <c r="E15" s="280"/>
      <c r="F15" s="280"/>
      <c r="G15" s="280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81" t="s">
        <v>76</v>
      </c>
      <c r="B19" s="281" t="s">
        <v>77</v>
      </c>
      <c r="C19" s="281" t="s">
        <v>78</v>
      </c>
      <c r="D19" s="281"/>
      <c r="E19" s="281"/>
      <c r="F19" s="281"/>
      <c r="G19" s="281" t="s">
        <v>79</v>
      </c>
    </row>
    <row r="20" spans="1:7" ht="18.75" x14ac:dyDescent="0.25">
      <c r="A20" s="281"/>
      <c r="B20" s="281"/>
      <c r="C20" s="281" t="s">
        <v>80</v>
      </c>
      <c r="D20" s="281" t="s">
        <v>6</v>
      </c>
      <c r="E20" s="281"/>
      <c r="F20" s="281"/>
      <c r="G20" s="281"/>
    </row>
    <row r="21" spans="1:7" ht="75" x14ac:dyDescent="0.25">
      <c r="A21" s="281"/>
      <c r="B21" s="281"/>
      <c r="C21" s="281"/>
      <c r="D21" s="12" t="s">
        <v>81</v>
      </c>
      <c r="E21" s="12" t="s">
        <v>82</v>
      </c>
      <c r="F21" s="12" t="s">
        <v>83</v>
      </c>
      <c r="G21" s="281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9" t="s">
        <v>354</v>
      </c>
      <c r="B32" s="300"/>
      <c r="C32" s="300"/>
      <c r="D32" s="300"/>
      <c r="E32" s="300"/>
      <c r="F32" s="300"/>
      <c r="G32" s="301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465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74" t="s">
        <v>312</v>
      </c>
      <c r="B39" s="275"/>
      <c r="C39" s="275"/>
      <c r="D39" s="275"/>
      <c r="E39" s="275"/>
      <c r="F39" s="275"/>
      <c r="G39" s="276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74" t="s">
        <v>314</v>
      </c>
      <c r="B43" s="275"/>
      <c r="C43" s="275"/>
      <c r="D43" s="275"/>
      <c r="E43" s="275"/>
      <c r="F43" s="275"/>
      <c r="G43" s="276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77" t="s">
        <v>317</v>
      </c>
      <c r="B48" s="278"/>
      <c r="C48" s="278"/>
      <c r="D48" s="278"/>
      <c r="E48" s="278"/>
      <c r="F48" s="278"/>
      <c r="G48" s="279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74" t="s">
        <v>322</v>
      </c>
      <c r="B57" s="275"/>
      <c r="C57" s="275"/>
      <c r="D57" s="275"/>
      <c r="E57" s="275"/>
      <c r="F57" s="275"/>
      <c r="G57" s="276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96" t="s">
        <v>325</v>
      </c>
      <c r="B61" s="297"/>
      <c r="C61" s="297"/>
      <c r="D61" s="297"/>
      <c r="E61" s="297"/>
      <c r="F61" s="297"/>
      <c r="G61" s="298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463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464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302" t="s">
        <v>350</v>
      </c>
      <c r="B72" s="303"/>
      <c r="C72" s="303"/>
      <c r="D72" s="303"/>
      <c r="E72" s="303"/>
      <c r="F72" s="303"/>
      <c r="G72" s="304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74" t="s">
        <v>314</v>
      </c>
      <c r="B81" s="275"/>
      <c r="C81" s="275"/>
      <c r="D81" s="275"/>
      <c r="E81" s="275"/>
      <c r="F81" s="275"/>
      <c r="G81" s="276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77" t="s">
        <v>317</v>
      </c>
      <c r="B87" s="278"/>
      <c r="C87" s="278"/>
      <c r="D87" s="278"/>
      <c r="E87" s="278"/>
      <c r="F87" s="278"/>
      <c r="G87" s="279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74" t="s">
        <v>322</v>
      </c>
      <c r="B99" s="275"/>
      <c r="C99" s="275"/>
      <c r="D99" s="275"/>
      <c r="E99" s="275"/>
      <c r="F99" s="275"/>
      <c r="G99" s="276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96" t="s">
        <v>325</v>
      </c>
      <c r="B104" s="297"/>
      <c r="C104" s="297"/>
      <c r="D104" s="297"/>
      <c r="E104" s="297"/>
      <c r="F104" s="297"/>
      <c r="G104" s="298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463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'!E67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95" t="s">
        <v>392</v>
      </c>
      <c r="B116" s="295"/>
      <c r="C116" s="295"/>
      <c r="D116" s="295"/>
      <c r="E116" s="295"/>
      <c r="F116" s="295"/>
      <c r="G116" s="295"/>
    </row>
    <row r="117" spans="1:9" ht="18.75" x14ac:dyDescent="0.3">
      <c r="A117" s="9"/>
      <c r="B117" s="10"/>
    </row>
    <row r="118" spans="1:9" ht="18.75" x14ac:dyDescent="0.25">
      <c r="A118" s="280" t="s">
        <v>180</v>
      </c>
      <c r="B118" s="280"/>
      <c r="C118" s="280"/>
      <c r="D118" s="280"/>
      <c r="E118" s="280"/>
      <c r="F118" s="280"/>
      <c r="G118" s="280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81" t="s">
        <v>84</v>
      </c>
      <c r="B122" s="281" t="s">
        <v>244</v>
      </c>
      <c r="C122" s="281"/>
      <c r="D122" s="281" t="s">
        <v>185</v>
      </c>
      <c r="E122" s="281"/>
      <c r="F122" s="281" t="s">
        <v>85</v>
      </c>
      <c r="G122" s="281"/>
    </row>
    <row r="123" spans="1:9" ht="22.5" customHeight="1" x14ac:dyDescent="0.25">
      <c r="A123" s="281"/>
      <c r="B123" s="281"/>
      <c r="C123" s="281"/>
      <c r="D123" s="281"/>
      <c r="E123" s="281"/>
      <c r="F123" s="281"/>
      <c r="G123" s="281"/>
    </row>
    <row r="124" spans="1:9" ht="18.75" x14ac:dyDescent="0.25">
      <c r="A124" s="124">
        <v>1</v>
      </c>
      <c r="B124" s="281">
        <v>2</v>
      </c>
      <c r="C124" s="281"/>
      <c r="D124" s="281">
        <v>3</v>
      </c>
      <c r="E124" s="281"/>
      <c r="F124" s="281">
        <v>4</v>
      </c>
      <c r="G124" s="281"/>
    </row>
    <row r="125" spans="1:9" ht="37.5" customHeight="1" x14ac:dyDescent="0.25">
      <c r="A125" s="164">
        <v>131</v>
      </c>
      <c r="B125" s="287">
        <f>'гос.зад на 2023 год '!D26+'гос.зад на 2023 год '!D28+'гос.зад на 2023 год '!D67</f>
        <v>62755100.890000001</v>
      </c>
      <c r="C125" s="287"/>
      <c r="D125" s="287">
        <f>G114</f>
        <v>48210596.490000002</v>
      </c>
      <c r="E125" s="287"/>
      <c r="F125" s="287">
        <f>B125-D125</f>
        <v>14544504.399999999</v>
      </c>
      <c r="G125" s="287"/>
    </row>
    <row r="126" spans="1:9" ht="18.75" x14ac:dyDescent="0.25">
      <c r="A126" s="8"/>
    </row>
    <row r="127" spans="1:9" ht="35.25" customHeight="1" x14ac:dyDescent="0.25">
      <c r="A127" s="288" t="s">
        <v>203</v>
      </c>
      <c r="B127" s="288"/>
      <c r="C127" s="288"/>
      <c r="D127" s="288"/>
      <c r="E127" s="288"/>
      <c r="F127" s="288"/>
      <c r="G127" s="288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81" t="s">
        <v>88</v>
      </c>
      <c r="D131" s="281"/>
      <c r="E131" s="124" t="s">
        <v>89</v>
      </c>
      <c r="F131" s="281" t="s">
        <v>90</v>
      </c>
      <c r="G131" s="281"/>
    </row>
    <row r="132" spans="1:7" ht="18.75" x14ac:dyDescent="0.25">
      <c r="A132" s="124">
        <v>1</v>
      </c>
      <c r="B132" s="124">
        <v>2</v>
      </c>
      <c r="C132" s="281">
        <v>3</v>
      </c>
      <c r="D132" s="281"/>
      <c r="E132" s="124">
        <v>4</v>
      </c>
      <c r="F132" s="281">
        <v>5</v>
      </c>
      <c r="G132" s="281"/>
    </row>
    <row r="133" spans="1:7" ht="18.75" x14ac:dyDescent="0.25">
      <c r="A133" s="13" t="s">
        <v>91</v>
      </c>
      <c r="B133" s="163">
        <v>3</v>
      </c>
      <c r="C133" s="287">
        <v>288.33</v>
      </c>
      <c r="D133" s="287"/>
      <c r="E133" s="163">
        <v>20</v>
      </c>
      <c r="F133" s="287">
        <f>'гос.зад на 2023 год '!D27</f>
        <v>8000</v>
      </c>
      <c r="G133" s="287"/>
    </row>
    <row r="134" spans="1:7" ht="18.75" x14ac:dyDescent="0.25">
      <c r="A134" s="8"/>
    </row>
    <row r="135" spans="1:7" ht="18.75" x14ac:dyDescent="0.25">
      <c r="A135" s="288" t="s">
        <v>205</v>
      </c>
      <c r="B135" s="288"/>
      <c r="C135" s="288"/>
      <c r="D135" s="288"/>
      <c r="E135" s="288"/>
      <c r="F135" s="288"/>
      <c r="G135" s="288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81" t="s">
        <v>88</v>
      </c>
      <c r="D139" s="281"/>
      <c r="E139" s="175" t="s">
        <v>89</v>
      </c>
      <c r="F139" s="281" t="s">
        <v>90</v>
      </c>
      <c r="G139" s="281"/>
    </row>
    <row r="140" spans="1:7" ht="18.75" x14ac:dyDescent="0.25">
      <c r="A140" s="175">
        <v>1</v>
      </c>
      <c r="B140" s="175">
        <v>2</v>
      </c>
      <c r="C140" s="281">
        <v>3</v>
      </c>
      <c r="D140" s="281"/>
      <c r="E140" s="175">
        <v>4</v>
      </c>
      <c r="F140" s="281">
        <v>5</v>
      </c>
      <c r="G140" s="281"/>
    </row>
    <row r="141" spans="1:7" ht="18.75" x14ac:dyDescent="0.25">
      <c r="A141" s="13" t="s">
        <v>95</v>
      </c>
      <c r="B141" s="175">
        <v>5</v>
      </c>
      <c r="C141" s="287">
        <f>F141/E141/B141</f>
        <v>3200</v>
      </c>
      <c r="D141" s="287"/>
      <c r="E141" s="175">
        <v>5</v>
      </c>
      <c r="F141" s="287">
        <f>'гос.зад на 2023 год '!E54</f>
        <v>80000</v>
      </c>
      <c r="G141" s="287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8" t="s">
        <v>207</v>
      </c>
      <c r="B143" s="288"/>
      <c r="C143" s="288"/>
      <c r="D143" s="288"/>
      <c r="E143" s="288"/>
      <c r="F143" s="288"/>
      <c r="G143" s="288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63" t="s">
        <v>99</v>
      </c>
      <c r="C147" s="264"/>
      <c r="D147" s="263" t="s">
        <v>100</v>
      </c>
      <c r="E147" s="264"/>
      <c r="F147" s="263" t="s">
        <v>101</v>
      </c>
      <c r="G147" s="264"/>
    </row>
    <row r="148" spans="1:7" ht="18.75" x14ac:dyDescent="0.3">
      <c r="A148" s="124">
        <v>1</v>
      </c>
      <c r="B148" s="263">
        <v>2</v>
      </c>
      <c r="C148" s="264"/>
      <c r="D148" s="263">
        <v>3</v>
      </c>
      <c r="E148" s="264"/>
      <c r="F148" s="254">
        <v>4</v>
      </c>
      <c r="G148" s="255"/>
    </row>
    <row r="149" spans="1:7" ht="56.25" x14ac:dyDescent="0.25">
      <c r="A149" s="13" t="s">
        <v>102</v>
      </c>
      <c r="B149" s="263">
        <v>50</v>
      </c>
      <c r="C149" s="264"/>
      <c r="D149" s="263">
        <f>F149/B149</f>
        <v>6000</v>
      </c>
      <c r="E149" s="264"/>
      <c r="F149" s="305">
        <f>'гос.зад на 2023 год '!D68</f>
        <v>300000</v>
      </c>
      <c r="G149" s="306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80" t="s">
        <v>480</v>
      </c>
      <c r="B151" s="280"/>
      <c r="C151" s="280"/>
      <c r="D151" s="280"/>
      <c r="E151" s="280"/>
      <c r="F151" s="280"/>
      <c r="G151" s="280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81" t="s">
        <v>106</v>
      </c>
      <c r="C155" s="281"/>
      <c r="D155" s="281" t="s">
        <v>107</v>
      </c>
      <c r="E155" s="281"/>
      <c r="F155" s="281" t="s">
        <v>108</v>
      </c>
      <c r="G155" s="281"/>
    </row>
    <row r="156" spans="1:7" ht="18.75" x14ac:dyDescent="0.25">
      <c r="A156" s="179">
        <v>1</v>
      </c>
      <c r="B156" s="263">
        <v>2</v>
      </c>
      <c r="C156" s="264"/>
      <c r="D156" s="263">
        <v>3</v>
      </c>
      <c r="E156" s="264"/>
      <c r="F156" s="263">
        <v>4</v>
      </c>
      <c r="G156" s="264"/>
    </row>
    <row r="157" spans="1:7" ht="93.75" x14ac:dyDescent="0.25">
      <c r="A157" s="13" t="s">
        <v>27</v>
      </c>
      <c r="B157" s="281"/>
      <c r="C157" s="281"/>
      <c r="D157" s="281"/>
      <c r="E157" s="281"/>
      <c r="F157" s="287">
        <f>'гос.зад на 2023 год '!E65</f>
        <v>0</v>
      </c>
      <c r="G157" s="287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8" t="s">
        <v>226</v>
      </c>
      <c r="B159" s="288"/>
      <c r="C159" s="288"/>
      <c r="D159" s="288"/>
      <c r="E159" s="288"/>
      <c r="F159" s="288"/>
      <c r="G159" s="288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81" t="s">
        <v>109</v>
      </c>
      <c r="C162" s="281"/>
      <c r="D162" s="281" t="s">
        <v>110</v>
      </c>
      <c r="E162" s="281"/>
      <c r="F162" s="281" t="s">
        <v>111</v>
      </c>
      <c r="G162" s="281"/>
    </row>
    <row r="163" spans="1:9" ht="18.75" x14ac:dyDescent="0.25">
      <c r="A163" s="106">
        <v>1</v>
      </c>
      <c r="B163" s="263">
        <v>2</v>
      </c>
      <c r="C163" s="264"/>
      <c r="D163" s="293">
        <v>3</v>
      </c>
      <c r="E163" s="294"/>
      <c r="F163" s="293">
        <v>4</v>
      </c>
      <c r="G163" s="294"/>
      <c r="H163" s="50"/>
    </row>
    <row r="164" spans="1:9" ht="18.75" x14ac:dyDescent="0.25">
      <c r="A164" s="13" t="s">
        <v>112</v>
      </c>
      <c r="B164" s="261">
        <v>328603772</v>
      </c>
      <c r="C164" s="262"/>
      <c r="D164" s="283">
        <v>2.2000000000000002</v>
      </c>
      <c r="E164" s="284"/>
      <c r="F164" s="283">
        <f>'гос.зад на 2023 год '!D75</f>
        <v>14046743.380000003</v>
      </c>
      <c r="G164" s="284"/>
      <c r="H164" s="50"/>
      <c r="I164" s="50"/>
    </row>
    <row r="165" spans="1:9" ht="18.75" x14ac:dyDescent="0.25">
      <c r="A165" s="13" t="s">
        <v>113</v>
      </c>
      <c r="B165" s="261">
        <v>454497360</v>
      </c>
      <c r="C165" s="262"/>
      <c r="D165" s="261">
        <v>1.5</v>
      </c>
      <c r="E165" s="262"/>
      <c r="F165" s="285"/>
      <c r="G165" s="286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81" t="s">
        <v>109</v>
      </c>
      <c r="C169" s="281"/>
      <c r="D169" s="281" t="s">
        <v>110</v>
      </c>
      <c r="E169" s="281"/>
      <c r="F169" s="281" t="s">
        <v>115</v>
      </c>
      <c r="G169" s="281"/>
    </row>
    <row r="170" spans="1:9" ht="18.75" x14ac:dyDescent="0.3">
      <c r="A170" s="106">
        <v>1</v>
      </c>
      <c r="B170" s="263">
        <v>2</v>
      </c>
      <c r="C170" s="264"/>
      <c r="D170" s="263">
        <v>3</v>
      </c>
      <c r="E170" s="264"/>
      <c r="F170" s="254">
        <v>4</v>
      </c>
      <c r="G170" s="255"/>
    </row>
    <row r="171" spans="1:9" ht="18.75" x14ac:dyDescent="0.25">
      <c r="A171" s="13" t="s">
        <v>116</v>
      </c>
      <c r="B171" s="263" t="s">
        <v>117</v>
      </c>
      <c r="C171" s="264"/>
      <c r="D171" s="263" t="s">
        <v>117</v>
      </c>
      <c r="E171" s="264"/>
      <c r="F171" s="305">
        <f>'гос.зад на 2023 год '!D76</f>
        <v>51650</v>
      </c>
      <c r="G171" s="307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81" t="s">
        <v>109</v>
      </c>
      <c r="C175" s="281"/>
      <c r="D175" s="281" t="s">
        <v>110</v>
      </c>
      <c r="E175" s="281"/>
      <c r="F175" s="281" t="s">
        <v>115</v>
      </c>
      <c r="G175" s="281"/>
    </row>
    <row r="176" spans="1:9" ht="18.75" x14ac:dyDescent="0.3">
      <c r="A176" s="106">
        <v>1</v>
      </c>
      <c r="B176" s="263">
        <v>2</v>
      </c>
      <c r="C176" s="264"/>
      <c r="D176" s="263">
        <v>3</v>
      </c>
      <c r="E176" s="264"/>
      <c r="F176" s="254">
        <v>4</v>
      </c>
      <c r="G176" s="255"/>
    </row>
    <row r="177" spans="1:7" ht="37.5" x14ac:dyDescent="0.25">
      <c r="A177" s="13" t="s">
        <v>155</v>
      </c>
      <c r="B177" s="263" t="s">
        <v>117</v>
      </c>
      <c r="C177" s="264"/>
      <c r="D177" s="263" t="s">
        <v>117</v>
      </c>
      <c r="E177" s="264"/>
      <c r="F177" s="305">
        <f>'гос.зад на 2023 год '!D77</f>
        <v>0</v>
      </c>
      <c r="G177" s="306"/>
    </row>
    <row r="178" spans="1:7" ht="18.75" x14ac:dyDescent="0.25">
      <c r="A178" s="8"/>
    </row>
    <row r="179" spans="1:7" ht="18.75" x14ac:dyDescent="0.25">
      <c r="A179" s="280" t="s">
        <v>216</v>
      </c>
      <c r="B179" s="280"/>
      <c r="C179" s="280"/>
      <c r="D179" s="280"/>
      <c r="E179" s="280"/>
      <c r="F179" s="280"/>
      <c r="G179" s="280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81" t="s">
        <v>121</v>
      </c>
      <c r="C183" s="281"/>
      <c r="D183" s="281" t="s">
        <v>122</v>
      </c>
      <c r="E183" s="281"/>
      <c r="F183" s="281" t="s">
        <v>186</v>
      </c>
      <c r="G183" s="281"/>
    </row>
    <row r="184" spans="1:7" ht="18.75" x14ac:dyDescent="0.25">
      <c r="A184" s="106">
        <v>1</v>
      </c>
      <c r="B184" s="263">
        <v>2</v>
      </c>
      <c r="C184" s="264"/>
      <c r="D184" s="263">
        <v>3</v>
      </c>
      <c r="E184" s="264"/>
      <c r="F184" s="293">
        <v>4</v>
      </c>
      <c r="G184" s="294"/>
    </row>
    <row r="185" spans="1:7" ht="37.5" x14ac:dyDescent="0.25">
      <c r="A185" s="13" t="s">
        <v>366</v>
      </c>
      <c r="B185" s="263">
        <v>7</v>
      </c>
      <c r="C185" s="264"/>
      <c r="D185" s="261">
        <v>1363.80952</v>
      </c>
      <c r="E185" s="262"/>
      <c r="F185" s="261">
        <f>B185*D185*12</f>
        <v>114559.99967999999</v>
      </c>
      <c r="G185" s="262"/>
    </row>
    <row r="186" spans="1:7" ht="37.5" x14ac:dyDescent="0.25">
      <c r="A186" s="13" t="s">
        <v>367</v>
      </c>
      <c r="B186" s="263">
        <v>6</v>
      </c>
      <c r="C186" s="264"/>
      <c r="D186" s="261">
        <v>1395</v>
      </c>
      <c r="E186" s="262"/>
      <c r="F186" s="261">
        <v>100440</v>
      </c>
      <c r="G186" s="262"/>
    </row>
    <row r="187" spans="1:7" ht="18.75" x14ac:dyDescent="0.25">
      <c r="A187" s="13" t="s">
        <v>422</v>
      </c>
      <c r="B187" s="263" t="s">
        <v>117</v>
      </c>
      <c r="C187" s="264"/>
      <c r="D187" s="263" t="s">
        <v>117</v>
      </c>
      <c r="E187" s="264"/>
      <c r="F187" s="261">
        <v>2000</v>
      </c>
      <c r="G187" s="262"/>
    </row>
    <row r="188" spans="1:7" ht="18.75" x14ac:dyDescent="0.25">
      <c r="A188" s="13" t="s">
        <v>418</v>
      </c>
      <c r="B188" s="263" t="s">
        <v>117</v>
      </c>
      <c r="C188" s="264"/>
      <c r="D188" s="263" t="s">
        <v>117</v>
      </c>
      <c r="E188" s="264"/>
      <c r="F188" s="261">
        <v>2000</v>
      </c>
      <c r="G188" s="262"/>
    </row>
    <row r="189" spans="1:7" ht="18.75" x14ac:dyDescent="0.25">
      <c r="A189" s="13" t="s">
        <v>368</v>
      </c>
      <c r="B189" s="312" t="s">
        <v>274</v>
      </c>
      <c r="C189" s="313"/>
      <c r="D189" s="283">
        <v>117488</v>
      </c>
      <c r="E189" s="284"/>
      <c r="F189" s="283">
        <f>F191-F185-F186-F187-F188</f>
        <v>2158640.0003200001</v>
      </c>
      <c r="G189" s="284"/>
    </row>
    <row r="190" spans="1:7" ht="18.75" x14ac:dyDescent="0.25">
      <c r="A190" s="13" t="s">
        <v>369</v>
      </c>
      <c r="B190" s="314"/>
      <c r="C190" s="315"/>
      <c r="D190" s="285"/>
      <c r="E190" s="286"/>
      <c r="F190" s="285"/>
      <c r="G190" s="286"/>
    </row>
    <row r="191" spans="1:7" ht="18.75" x14ac:dyDescent="0.25">
      <c r="A191" s="13" t="s">
        <v>339</v>
      </c>
      <c r="B191" s="293"/>
      <c r="C191" s="294"/>
      <c r="D191" s="293"/>
      <c r="E191" s="294"/>
      <c r="F191" s="308">
        <f>'гос.зад на 2023 год '!D34</f>
        <v>2377640</v>
      </c>
      <c r="G191" s="309"/>
    </row>
    <row r="192" spans="1:7" x14ac:dyDescent="0.25">
      <c r="A192" s="23"/>
    </row>
    <row r="193" spans="1:7" ht="18.75" x14ac:dyDescent="0.25">
      <c r="A193" s="280" t="s">
        <v>217</v>
      </c>
      <c r="B193" s="280"/>
      <c r="C193" s="280"/>
      <c r="D193" s="280"/>
      <c r="E193" s="280"/>
      <c r="F193" s="280"/>
      <c r="G193" s="280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81" t="s">
        <v>125</v>
      </c>
      <c r="C197" s="281"/>
      <c r="D197" s="281" t="s">
        <v>93</v>
      </c>
      <c r="E197" s="281"/>
      <c r="F197" s="281" t="s">
        <v>186</v>
      </c>
      <c r="G197" s="281"/>
    </row>
    <row r="198" spans="1:7" ht="18.75" x14ac:dyDescent="0.25">
      <c r="A198" s="175">
        <v>1</v>
      </c>
      <c r="B198" s="263">
        <v>2</v>
      </c>
      <c r="C198" s="264"/>
      <c r="D198" s="263">
        <v>3</v>
      </c>
      <c r="E198" s="264"/>
      <c r="F198" s="263">
        <v>4</v>
      </c>
      <c r="G198" s="264"/>
    </row>
    <row r="199" spans="1:7" ht="18.75" x14ac:dyDescent="0.25">
      <c r="A199" s="13" t="s">
        <v>466</v>
      </c>
      <c r="B199" s="263"/>
      <c r="C199" s="264"/>
      <c r="D199" s="263"/>
      <c r="E199" s="264"/>
      <c r="F199" s="261"/>
      <c r="G199" s="262"/>
    </row>
    <row r="200" spans="1:7" ht="18.75" x14ac:dyDescent="0.25">
      <c r="A200" s="13" t="s">
        <v>339</v>
      </c>
      <c r="B200" s="263"/>
      <c r="C200" s="264"/>
      <c r="D200" s="263"/>
      <c r="E200" s="264"/>
      <c r="F200" s="261">
        <f>'гос.зад на 2023 год '!E37</f>
        <v>0</v>
      </c>
      <c r="G200" s="262"/>
    </row>
    <row r="201" spans="1:7" x14ac:dyDescent="0.25">
      <c r="A201" s="23"/>
    </row>
    <row r="202" spans="1:7" ht="18.75" x14ac:dyDescent="0.25">
      <c r="A202" s="280" t="s">
        <v>218</v>
      </c>
      <c r="B202" s="280"/>
      <c r="C202" s="280"/>
      <c r="D202" s="280"/>
      <c r="E202" s="280"/>
      <c r="F202" s="280"/>
      <c r="G202" s="280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431</v>
      </c>
    </row>
    <row r="205" spans="1:7" ht="18.75" x14ac:dyDescent="0.25">
      <c r="A205" s="8"/>
    </row>
    <row r="206" spans="1:7" ht="18.75" x14ac:dyDescent="0.25">
      <c r="A206" s="106" t="s">
        <v>86</v>
      </c>
      <c r="B206" s="281" t="s">
        <v>126</v>
      </c>
      <c r="C206" s="281"/>
      <c r="D206" s="281" t="s">
        <v>127</v>
      </c>
      <c r="E206" s="281"/>
      <c r="F206" s="281" t="s">
        <v>94</v>
      </c>
      <c r="G206" s="281"/>
    </row>
    <row r="207" spans="1:7" ht="18.75" x14ac:dyDescent="0.25">
      <c r="A207" s="106">
        <v>1</v>
      </c>
      <c r="B207" s="263">
        <v>2</v>
      </c>
      <c r="C207" s="264"/>
      <c r="D207" s="263">
        <v>3</v>
      </c>
      <c r="E207" s="264"/>
      <c r="F207" s="263">
        <v>4</v>
      </c>
      <c r="G207" s="264"/>
    </row>
    <row r="208" spans="1:7" ht="37.5" x14ac:dyDescent="0.25">
      <c r="A208" s="13" t="s">
        <v>18</v>
      </c>
      <c r="B208" s="263" t="s">
        <v>117</v>
      </c>
      <c r="C208" s="264"/>
      <c r="D208" s="263" t="s">
        <v>117</v>
      </c>
      <c r="E208" s="264"/>
      <c r="F208" s="261">
        <f>'гос.зад на 2023 год '!D41</f>
        <v>0</v>
      </c>
      <c r="G208" s="262"/>
    </row>
    <row r="209" spans="1:9" ht="37.5" x14ac:dyDescent="0.25">
      <c r="A209" s="13" t="s">
        <v>423</v>
      </c>
      <c r="B209" s="263" t="s">
        <v>451</v>
      </c>
      <c r="C209" s="264"/>
      <c r="D209" s="263">
        <v>6082.89</v>
      </c>
      <c r="E209" s="264"/>
      <c r="F209" s="283">
        <f>'гос.зад на 2023 год '!D43</f>
        <v>3698478.08</v>
      </c>
      <c r="G209" s="284"/>
    </row>
    <row r="210" spans="1:9" ht="37.5" x14ac:dyDescent="0.25">
      <c r="A210" s="13" t="s">
        <v>424</v>
      </c>
      <c r="B210" s="263" t="s">
        <v>434</v>
      </c>
      <c r="C210" s="264"/>
      <c r="D210" s="263">
        <v>7300</v>
      </c>
      <c r="E210" s="264"/>
      <c r="F210" s="285"/>
      <c r="G210" s="286"/>
    </row>
    <row r="211" spans="1:9" ht="56.25" x14ac:dyDescent="0.25">
      <c r="A211" s="13" t="s">
        <v>370</v>
      </c>
      <c r="B211" s="263" t="s">
        <v>372</v>
      </c>
      <c r="C211" s="264"/>
      <c r="D211" s="263">
        <v>5.39</v>
      </c>
      <c r="E211" s="264"/>
      <c r="F211" s="283">
        <f>'гос.зад на 2023 год '!D45</f>
        <v>25841332.859999999</v>
      </c>
      <c r="G211" s="284"/>
    </row>
    <row r="212" spans="1:9" ht="56.25" x14ac:dyDescent="0.25">
      <c r="A212" s="13" t="s">
        <v>371</v>
      </c>
      <c r="B212" s="263" t="s">
        <v>452</v>
      </c>
      <c r="C212" s="264"/>
      <c r="D212" s="263">
        <v>1112.71</v>
      </c>
      <c r="E212" s="264"/>
      <c r="F212" s="310"/>
      <c r="G212" s="311"/>
    </row>
    <row r="213" spans="1:9" ht="56.25" x14ac:dyDescent="0.25">
      <c r="A213" s="13" t="s">
        <v>373</v>
      </c>
      <c r="B213" s="263" t="s">
        <v>468</v>
      </c>
      <c r="C213" s="264"/>
      <c r="D213" s="263">
        <v>63.04</v>
      </c>
      <c r="E213" s="264"/>
      <c r="F213" s="283">
        <f>'гос.зад на 2023 год '!D46</f>
        <v>6704866.3300000001</v>
      </c>
      <c r="G213" s="284"/>
    </row>
    <row r="214" spans="1:9" ht="56.25" x14ac:dyDescent="0.25">
      <c r="A214" s="13" t="s">
        <v>374</v>
      </c>
      <c r="B214" s="263" t="s">
        <v>467</v>
      </c>
      <c r="C214" s="264"/>
      <c r="D214" s="263">
        <v>98.8</v>
      </c>
      <c r="E214" s="264"/>
      <c r="F214" s="285"/>
      <c r="G214" s="286"/>
      <c r="I214" s="50"/>
    </row>
    <row r="215" spans="1:9" ht="56.25" x14ac:dyDescent="0.25">
      <c r="A215" s="24" t="s">
        <v>375</v>
      </c>
      <c r="B215" s="263" t="s">
        <v>453</v>
      </c>
      <c r="C215" s="264"/>
      <c r="D215" s="263">
        <v>654.73</v>
      </c>
      <c r="E215" s="264"/>
      <c r="F215" s="283">
        <f>'гос.зад на 2023 год '!D47</f>
        <v>608287.23</v>
      </c>
      <c r="G215" s="284"/>
    </row>
    <row r="216" spans="1:9" ht="56.25" x14ac:dyDescent="0.25">
      <c r="A216" s="24" t="s">
        <v>376</v>
      </c>
      <c r="B216" s="263" t="s">
        <v>411</v>
      </c>
      <c r="C216" s="264"/>
      <c r="D216" s="263">
        <v>665</v>
      </c>
      <c r="E216" s="264"/>
      <c r="F216" s="285"/>
      <c r="G216" s="286"/>
    </row>
    <row r="217" spans="1:9" ht="37.5" x14ac:dyDescent="0.25">
      <c r="A217" s="24" t="s">
        <v>488</v>
      </c>
      <c r="B217" s="263" t="s">
        <v>489</v>
      </c>
      <c r="C217" s="264"/>
      <c r="D217" s="263">
        <v>37</v>
      </c>
      <c r="E217" s="264"/>
      <c r="F217" s="261">
        <f>'гос.зад на 2023 год '!E48</f>
        <v>37000</v>
      </c>
      <c r="G217" s="262"/>
    </row>
    <row r="218" spans="1:9" ht="33.75" customHeight="1" x14ac:dyDescent="0.25">
      <c r="A218" s="24" t="s">
        <v>311</v>
      </c>
      <c r="B218" s="263"/>
      <c r="C218" s="264"/>
      <c r="D218" s="263"/>
      <c r="E218" s="264"/>
      <c r="F218" s="261">
        <f>'гос.зад на 2023 год '!E38</f>
        <v>36889964.499999993</v>
      </c>
      <c r="G218" s="262"/>
    </row>
    <row r="219" spans="1:9" ht="18.75" x14ac:dyDescent="0.25">
      <c r="A219" s="27"/>
      <c r="B219" s="26"/>
      <c r="C219" s="26"/>
      <c r="D219" s="26"/>
      <c r="E219" s="26"/>
      <c r="F219" s="26"/>
      <c r="G219" s="26"/>
    </row>
    <row r="220" spans="1:9" ht="18.75" x14ac:dyDescent="0.25">
      <c r="A220" s="282" t="s">
        <v>220</v>
      </c>
      <c r="B220" s="282"/>
      <c r="C220" s="282"/>
      <c r="D220" s="282"/>
      <c r="E220" s="282"/>
      <c r="F220" s="282"/>
      <c r="G220" s="282"/>
    </row>
    <row r="221" spans="1:9" ht="35.25" customHeight="1" x14ac:dyDescent="0.25">
      <c r="A221" s="165"/>
      <c r="B221" s="165"/>
      <c r="C221" s="165"/>
      <c r="D221" s="165"/>
      <c r="E221" s="165"/>
      <c r="F221" s="165"/>
      <c r="G221" s="165"/>
    </row>
    <row r="222" spans="1:9" ht="18.75" x14ac:dyDescent="0.3">
      <c r="A222" s="9" t="s">
        <v>145</v>
      </c>
      <c r="B222" s="10">
        <v>244</v>
      </c>
    </row>
    <row r="223" spans="1:9" ht="18.75" x14ac:dyDescent="0.25">
      <c r="A223" s="8"/>
    </row>
    <row r="224" spans="1:9" ht="18.75" x14ac:dyDescent="0.25">
      <c r="A224" s="281" t="s">
        <v>86</v>
      </c>
      <c r="B224" s="281"/>
      <c r="C224" s="281"/>
      <c r="D224" s="281" t="s">
        <v>131</v>
      </c>
      <c r="E224" s="281"/>
      <c r="F224" s="281" t="s">
        <v>132</v>
      </c>
      <c r="G224" s="281"/>
    </row>
    <row r="225" spans="1:7" ht="18.75" x14ac:dyDescent="0.3">
      <c r="A225" s="281">
        <v>1</v>
      </c>
      <c r="B225" s="281"/>
      <c r="C225" s="281"/>
      <c r="D225" s="254">
        <v>2</v>
      </c>
      <c r="E225" s="255"/>
      <c r="F225" s="254">
        <v>3</v>
      </c>
      <c r="G225" s="255"/>
    </row>
    <row r="226" spans="1:7" ht="18.75" x14ac:dyDescent="0.3">
      <c r="A226" s="258" t="s">
        <v>377</v>
      </c>
      <c r="B226" s="259"/>
      <c r="C226" s="260"/>
      <c r="D226" s="254"/>
      <c r="E226" s="255"/>
      <c r="F226" s="271"/>
      <c r="G226" s="273"/>
    </row>
    <row r="227" spans="1:7" ht="18.75" x14ac:dyDescent="0.3">
      <c r="A227" s="253" t="s">
        <v>275</v>
      </c>
      <c r="B227" s="253"/>
      <c r="C227" s="253"/>
      <c r="D227" s="254">
        <v>12</v>
      </c>
      <c r="E227" s="255"/>
      <c r="F227" s="256">
        <v>480000</v>
      </c>
      <c r="G227" s="257"/>
    </row>
    <row r="228" spans="1:7" ht="38.25" customHeight="1" x14ac:dyDescent="0.3">
      <c r="A228" s="253" t="s">
        <v>276</v>
      </c>
      <c r="B228" s="253"/>
      <c r="C228" s="253"/>
      <c r="D228" s="254">
        <v>12</v>
      </c>
      <c r="E228" s="255"/>
      <c r="F228" s="256">
        <v>432000</v>
      </c>
      <c r="G228" s="257"/>
    </row>
    <row r="229" spans="1:7" ht="38.25" customHeight="1" x14ac:dyDescent="0.3">
      <c r="A229" s="253" t="s">
        <v>277</v>
      </c>
      <c r="B229" s="253"/>
      <c r="C229" s="253"/>
      <c r="D229" s="254">
        <v>12</v>
      </c>
      <c r="E229" s="255"/>
      <c r="F229" s="256">
        <v>363000</v>
      </c>
      <c r="G229" s="257"/>
    </row>
    <row r="230" spans="1:7" ht="18.75" x14ac:dyDescent="0.3">
      <c r="A230" s="253" t="s">
        <v>278</v>
      </c>
      <c r="B230" s="253"/>
      <c r="C230" s="253"/>
      <c r="D230" s="254">
        <v>7</v>
      </c>
      <c r="E230" s="255"/>
      <c r="F230" s="256">
        <v>116930.88</v>
      </c>
      <c r="G230" s="257"/>
    </row>
    <row r="231" spans="1:7" ht="39.75" customHeight="1" x14ac:dyDescent="0.3">
      <c r="A231" s="253" t="s">
        <v>469</v>
      </c>
      <c r="B231" s="253"/>
      <c r="C231" s="253"/>
      <c r="D231" s="254">
        <v>12</v>
      </c>
      <c r="E231" s="255"/>
      <c r="F231" s="256">
        <v>303120</v>
      </c>
      <c r="G231" s="257"/>
    </row>
    <row r="232" spans="1:7" ht="18.75" x14ac:dyDescent="0.3">
      <c r="A232" s="253" t="s">
        <v>280</v>
      </c>
      <c r="B232" s="253"/>
      <c r="C232" s="253"/>
      <c r="D232" s="254">
        <v>12</v>
      </c>
      <c r="E232" s="255"/>
      <c r="F232" s="256">
        <v>6477.68</v>
      </c>
      <c r="G232" s="257"/>
    </row>
    <row r="233" spans="1:7" ht="18.75" x14ac:dyDescent="0.3">
      <c r="A233" s="253" t="s">
        <v>282</v>
      </c>
      <c r="B233" s="253"/>
      <c r="C233" s="253"/>
      <c r="D233" s="254">
        <v>12</v>
      </c>
      <c r="E233" s="255"/>
      <c r="F233" s="256">
        <f>180000</f>
        <v>180000</v>
      </c>
      <c r="G233" s="257"/>
    </row>
    <row r="234" spans="1:7" ht="42.75" customHeight="1" x14ac:dyDescent="0.3">
      <c r="A234" s="253" t="s">
        <v>283</v>
      </c>
      <c r="B234" s="253"/>
      <c r="C234" s="253"/>
      <c r="D234" s="254">
        <v>12</v>
      </c>
      <c r="E234" s="255"/>
      <c r="F234" s="256">
        <v>278400</v>
      </c>
      <c r="G234" s="257"/>
    </row>
    <row r="235" spans="1:7" ht="18.75" x14ac:dyDescent="0.3">
      <c r="A235" s="253" t="s">
        <v>284</v>
      </c>
      <c r="B235" s="253"/>
      <c r="C235" s="253"/>
      <c r="D235" s="254">
        <v>12</v>
      </c>
      <c r="E235" s="255"/>
      <c r="F235" s="256">
        <v>7063.64</v>
      </c>
      <c r="G235" s="257"/>
    </row>
    <row r="236" spans="1:7" ht="18.75" x14ac:dyDescent="0.3">
      <c r="A236" s="253" t="s">
        <v>136</v>
      </c>
      <c r="B236" s="253"/>
      <c r="C236" s="253"/>
      <c r="D236" s="254">
        <v>2</v>
      </c>
      <c r="E236" s="255"/>
      <c r="F236" s="256">
        <v>120000</v>
      </c>
      <c r="G236" s="257"/>
    </row>
    <row r="237" spans="1:7" ht="36.75" customHeight="1" x14ac:dyDescent="0.3">
      <c r="A237" s="253" t="s">
        <v>285</v>
      </c>
      <c r="B237" s="253"/>
      <c r="C237" s="253"/>
      <c r="D237" s="254">
        <v>12</v>
      </c>
      <c r="E237" s="255"/>
      <c r="F237" s="256">
        <v>16000</v>
      </c>
      <c r="G237" s="257"/>
    </row>
    <row r="238" spans="1:7" ht="18.75" x14ac:dyDescent="0.3">
      <c r="A238" s="253" t="s">
        <v>379</v>
      </c>
      <c r="B238" s="253"/>
      <c r="C238" s="253"/>
      <c r="D238" s="254">
        <v>12</v>
      </c>
      <c r="E238" s="255"/>
      <c r="F238" s="256">
        <v>103440</v>
      </c>
      <c r="G238" s="257"/>
    </row>
    <row r="239" spans="1:7" ht="18.75" x14ac:dyDescent="0.3">
      <c r="A239" s="253" t="s">
        <v>286</v>
      </c>
      <c r="B239" s="253"/>
      <c r="C239" s="253"/>
      <c r="D239" s="254">
        <v>12</v>
      </c>
      <c r="E239" s="255"/>
      <c r="F239" s="256">
        <v>3262500</v>
      </c>
      <c r="G239" s="257"/>
    </row>
    <row r="240" spans="1:7" ht="18.75" x14ac:dyDescent="0.3">
      <c r="A240" s="253" t="s">
        <v>287</v>
      </c>
      <c r="B240" s="253"/>
      <c r="C240" s="253"/>
      <c r="D240" s="254">
        <v>12</v>
      </c>
      <c r="E240" s="255"/>
      <c r="F240" s="256">
        <v>1799910</v>
      </c>
      <c r="G240" s="257"/>
    </row>
    <row r="241" spans="1:7" ht="18.75" x14ac:dyDescent="0.3">
      <c r="A241" s="253" t="s">
        <v>343</v>
      </c>
      <c r="B241" s="253"/>
      <c r="C241" s="253"/>
      <c r="D241" s="254">
        <v>12</v>
      </c>
      <c r="E241" s="255"/>
      <c r="F241" s="256">
        <v>17814685.600000001</v>
      </c>
      <c r="G241" s="257"/>
    </row>
    <row r="242" spans="1:7" ht="18.75" x14ac:dyDescent="0.3">
      <c r="A242" s="253" t="s">
        <v>344</v>
      </c>
      <c r="B242" s="253"/>
      <c r="C242" s="253"/>
      <c r="D242" s="254">
        <v>12</v>
      </c>
      <c r="E242" s="255"/>
      <c r="F242" s="256">
        <v>179000</v>
      </c>
      <c r="G242" s="257"/>
    </row>
    <row r="243" spans="1:7" ht="37.5" customHeight="1" x14ac:dyDescent="0.3">
      <c r="A243" s="253" t="s">
        <v>454</v>
      </c>
      <c r="B243" s="253"/>
      <c r="C243" s="253"/>
      <c r="D243" s="254">
        <v>12</v>
      </c>
      <c r="E243" s="255"/>
      <c r="F243" s="256">
        <v>665700</v>
      </c>
      <c r="G243" s="257"/>
    </row>
    <row r="244" spans="1:7" ht="37.5" customHeight="1" x14ac:dyDescent="0.3">
      <c r="A244" s="253" t="s">
        <v>471</v>
      </c>
      <c r="B244" s="253"/>
      <c r="C244" s="253"/>
      <c r="D244" s="254">
        <v>12</v>
      </c>
      <c r="E244" s="255"/>
      <c r="F244" s="256">
        <f>394800-16800</f>
        <v>378000</v>
      </c>
      <c r="G244" s="257"/>
    </row>
    <row r="245" spans="1:7" ht="18.75" x14ac:dyDescent="0.3">
      <c r="A245" s="253" t="s">
        <v>288</v>
      </c>
      <c r="B245" s="253"/>
      <c r="C245" s="253"/>
      <c r="D245" s="254">
        <v>12</v>
      </c>
      <c r="E245" s="255"/>
      <c r="F245" s="256">
        <v>10000</v>
      </c>
      <c r="G245" s="257"/>
    </row>
    <row r="246" spans="1:7" ht="18.75" x14ac:dyDescent="0.3">
      <c r="A246" s="253" t="s">
        <v>289</v>
      </c>
      <c r="B246" s="253"/>
      <c r="C246" s="253"/>
      <c r="D246" s="254">
        <v>1</v>
      </c>
      <c r="E246" s="255"/>
      <c r="F246" s="256">
        <v>529000</v>
      </c>
      <c r="G246" s="257"/>
    </row>
    <row r="247" spans="1:7" ht="18.75" x14ac:dyDescent="0.3">
      <c r="A247" s="253" t="s">
        <v>473</v>
      </c>
      <c r="B247" s="253"/>
      <c r="C247" s="253"/>
      <c r="D247" s="254">
        <v>1</v>
      </c>
      <c r="E247" s="255"/>
      <c r="F247" s="256">
        <v>30033.33</v>
      </c>
      <c r="G247" s="257"/>
    </row>
    <row r="248" spans="1:7" ht="18.75" x14ac:dyDescent="0.3">
      <c r="A248" s="253" t="s">
        <v>474</v>
      </c>
      <c r="B248" s="253"/>
      <c r="C248" s="253"/>
      <c r="D248" s="254">
        <v>1</v>
      </c>
      <c r="E248" s="255"/>
      <c r="F248" s="256">
        <v>130000</v>
      </c>
      <c r="G248" s="257"/>
    </row>
    <row r="249" spans="1:7" ht="18.75" x14ac:dyDescent="0.3">
      <c r="A249" s="253" t="s">
        <v>475</v>
      </c>
      <c r="B249" s="253"/>
      <c r="C249" s="253"/>
      <c r="D249" s="254">
        <v>1</v>
      </c>
      <c r="E249" s="255"/>
      <c r="F249" s="256">
        <v>170400</v>
      </c>
      <c r="G249" s="257"/>
    </row>
    <row r="250" spans="1:7" ht="18.75" x14ac:dyDescent="0.3">
      <c r="A250" s="253" t="s">
        <v>378</v>
      </c>
      <c r="B250" s="253"/>
      <c r="C250" s="253"/>
      <c r="D250" s="254"/>
      <c r="E250" s="255"/>
      <c r="F250" s="256"/>
      <c r="G250" s="257"/>
    </row>
    <row r="251" spans="1:7" ht="18.75" x14ac:dyDescent="0.3">
      <c r="A251" s="258" t="s">
        <v>470</v>
      </c>
      <c r="B251" s="259"/>
      <c r="C251" s="260"/>
      <c r="D251" s="254">
        <v>4</v>
      </c>
      <c r="E251" s="255"/>
      <c r="F251" s="256">
        <v>12000</v>
      </c>
      <c r="G251" s="257"/>
    </row>
    <row r="252" spans="1:7" ht="18.75" x14ac:dyDescent="0.3">
      <c r="A252" s="258" t="s">
        <v>393</v>
      </c>
      <c r="B252" s="259"/>
      <c r="C252" s="260"/>
      <c r="D252" s="254">
        <v>12</v>
      </c>
      <c r="E252" s="255"/>
      <c r="F252" s="256">
        <v>576000</v>
      </c>
      <c r="G252" s="257"/>
    </row>
    <row r="253" spans="1:7" ht="38.25" customHeight="1" x14ac:dyDescent="0.3">
      <c r="A253" s="258" t="s">
        <v>472</v>
      </c>
      <c r="B253" s="259"/>
      <c r="C253" s="260"/>
      <c r="D253" s="254">
        <v>12</v>
      </c>
      <c r="E253" s="255"/>
      <c r="F253" s="256">
        <v>120000</v>
      </c>
      <c r="G253" s="257"/>
    </row>
    <row r="254" spans="1:7" ht="18.75" x14ac:dyDescent="0.3">
      <c r="A254" s="258" t="s">
        <v>395</v>
      </c>
      <c r="B254" s="259"/>
      <c r="C254" s="260"/>
      <c r="D254" s="254">
        <v>12</v>
      </c>
      <c r="E254" s="255"/>
      <c r="F254" s="256">
        <v>209200</v>
      </c>
      <c r="G254" s="257"/>
    </row>
    <row r="255" spans="1:7" ht="37.5" customHeight="1" x14ac:dyDescent="0.3">
      <c r="A255" s="258" t="s">
        <v>398</v>
      </c>
      <c r="B255" s="259"/>
      <c r="C255" s="260"/>
      <c r="D255" s="254">
        <v>12</v>
      </c>
      <c r="E255" s="255"/>
      <c r="F255" s="256">
        <v>566360</v>
      </c>
      <c r="G255" s="257"/>
    </row>
    <row r="256" spans="1:7" ht="18.75" x14ac:dyDescent="0.3">
      <c r="A256" s="258" t="s">
        <v>455</v>
      </c>
      <c r="B256" s="259"/>
      <c r="C256" s="260"/>
      <c r="D256" s="254">
        <v>12</v>
      </c>
      <c r="E256" s="255"/>
      <c r="F256" s="256">
        <v>140000</v>
      </c>
      <c r="G256" s="257"/>
    </row>
    <row r="257" spans="1:7" ht="18.75" x14ac:dyDescent="0.3">
      <c r="A257" s="258" t="s">
        <v>425</v>
      </c>
      <c r="B257" s="259"/>
      <c r="C257" s="260"/>
      <c r="D257" s="254">
        <v>12</v>
      </c>
      <c r="E257" s="255"/>
      <c r="F257" s="256">
        <v>35000</v>
      </c>
      <c r="G257" s="257"/>
    </row>
    <row r="258" spans="1:7" ht="37.5" customHeight="1" x14ac:dyDescent="0.3">
      <c r="A258" s="258" t="s">
        <v>426</v>
      </c>
      <c r="B258" s="259"/>
      <c r="C258" s="260"/>
      <c r="D258" s="254">
        <v>12</v>
      </c>
      <c r="E258" s="255"/>
      <c r="F258" s="256">
        <v>854700</v>
      </c>
      <c r="G258" s="257"/>
    </row>
    <row r="259" spans="1:7" ht="18.75" x14ac:dyDescent="0.3">
      <c r="A259" s="258" t="s">
        <v>427</v>
      </c>
      <c r="B259" s="259"/>
      <c r="C259" s="260"/>
      <c r="D259" s="254">
        <v>12</v>
      </c>
      <c r="E259" s="255"/>
      <c r="F259" s="256">
        <v>398080</v>
      </c>
      <c r="G259" s="257"/>
    </row>
    <row r="260" spans="1:7" ht="18.75" x14ac:dyDescent="0.3">
      <c r="A260" s="258" t="s">
        <v>146</v>
      </c>
      <c r="B260" s="259"/>
      <c r="C260" s="260"/>
      <c r="D260" s="254"/>
      <c r="E260" s="255"/>
      <c r="F260" s="271">
        <f>'гос.зад на 2023 год '!D52</f>
        <v>30287001.129999999</v>
      </c>
      <c r="G260" s="273"/>
    </row>
    <row r="261" spans="1:7" ht="18.75" x14ac:dyDescent="0.25">
      <c r="A261" s="29"/>
    </row>
    <row r="262" spans="1:7" ht="18.75" x14ac:dyDescent="0.25">
      <c r="A262" s="280" t="s">
        <v>221</v>
      </c>
      <c r="B262" s="280"/>
      <c r="C262" s="280"/>
      <c r="D262" s="280"/>
      <c r="E262" s="280"/>
      <c r="F262" s="280"/>
      <c r="G262" s="280"/>
    </row>
    <row r="263" spans="1:7" ht="18.75" x14ac:dyDescent="0.25">
      <c r="A263" s="9"/>
    </row>
    <row r="264" spans="1:7" ht="35.25" customHeight="1" x14ac:dyDescent="0.3">
      <c r="A264" s="9" t="s">
        <v>145</v>
      </c>
      <c r="B264" s="10">
        <v>244</v>
      </c>
    </row>
    <row r="265" spans="1:7" ht="18.75" x14ac:dyDescent="0.25">
      <c r="A265" s="8"/>
    </row>
    <row r="266" spans="1:7" ht="18.75" x14ac:dyDescent="0.25">
      <c r="A266" s="281" t="s">
        <v>86</v>
      </c>
      <c r="B266" s="281"/>
      <c r="C266" s="281"/>
      <c r="D266" s="281" t="s">
        <v>137</v>
      </c>
      <c r="E266" s="281"/>
      <c r="F266" s="281" t="s">
        <v>138</v>
      </c>
      <c r="G266" s="281"/>
    </row>
    <row r="267" spans="1:7" ht="18.75" x14ac:dyDescent="0.3">
      <c r="A267" s="263">
        <v>1</v>
      </c>
      <c r="B267" s="292"/>
      <c r="C267" s="264"/>
      <c r="D267" s="254">
        <v>2</v>
      </c>
      <c r="E267" s="255"/>
      <c r="F267" s="254">
        <v>3</v>
      </c>
      <c r="G267" s="255"/>
    </row>
    <row r="268" spans="1:7" ht="18.75" x14ac:dyDescent="0.3">
      <c r="A268" s="258" t="s">
        <v>139</v>
      </c>
      <c r="B268" s="259"/>
      <c r="C268" s="260"/>
      <c r="D268" s="267">
        <v>1</v>
      </c>
      <c r="E268" s="268"/>
      <c r="F268" s="256">
        <v>252000</v>
      </c>
      <c r="G268" s="257"/>
    </row>
    <row r="269" spans="1:7" ht="18.75" x14ac:dyDescent="0.3">
      <c r="A269" s="258" t="s">
        <v>140</v>
      </c>
      <c r="B269" s="259"/>
      <c r="C269" s="260"/>
      <c r="D269" s="267">
        <v>3</v>
      </c>
      <c r="E269" s="268"/>
      <c r="F269" s="256">
        <v>10013938.289999999</v>
      </c>
      <c r="G269" s="257"/>
    </row>
    <row r="270" spans="1:7" ht="34.5" customHeight="1" x14ac:dyDescent="0.3">
      <c r="A270" s="258" t="s">
        <v>441</v>
      </c>
      <c r="B270" s="259"/>
      <c r="C270" s="260"/>
      <c r="D270" s="267">
        <v>1</v>
      </c>
      <c r="E270" s="268"/>
      <c r="F270" s="256">
        <v>66000</v>
      </c>
      <c r="G270" s="257"/>
    </row>
    <row r="271" spans="1:7" ht="18.75" x14ac:dyDescent="0.3">
      <c r="A271" s="258" t="s">
        <v>442</v>
      </c>
      <c r="B271" s="259"/>
      <c r="C271" s="260"/>
      <c r="D271" s="267">
        <v>1</v>
      </c>
      <c r="E271" s="268"/>
      <c r="F271" s="256">
        <v>33816</v>
      </c>
      <c r="G271" s="257"/>
    </row>
    <row r="272" spans="1:7" ht="18.75" x14ac:dyDescent="0.3">
      <c r="A272" s="258" t="s">
        <v>445</v>
      </c>
      <c r="B272" s="259"/>
      <c r="C272" s="260"/>
      <c r="D272" s="267">
        <v>1</v>
      </c>
      <c r="E272" s="268"/>
      <c r="F272" s="256">
        <v>50000</v>
      </c>
      <c r="G272" s="257"/>
    </row>
    <row r="273" spans="1:7" ht="18.75" x14ac:dyDescent="0.3">
      <c r="A273" s="258" t="s">
        <v>446</v>
      </c>
      <c r="B273" s="259"/>
      <c r="C273" s="260"/>
      <c r="D273" s="267">
        <v>1</v>
      </c>
      <c r="E273" s="268"/>
      <c r="F273" s="256">
        <v>7200</v>
      </c>
      <c r="G273" s="257"/>
    </row>
    <row r="274" spans="1:7" ht="18.75" x14ac:dyDescent="0.3">
      <c r="A274" s="258" t="s">
        <v>444</v>
      </c>
      <c r="B274" s="259"/>
      <c r="C274" s="260"/>
      <c r="D274" s="267">
        <v>3</v>
      </c>
      <c r="E274" s="268"/>
      <c r="F274" s="256">
        <v>100000</v>
      </c>
      <c r="G274" s="257"/>
    </row>
    <row r="275" spans="1:7" ht="18.75" x14ac:dyDescent="0.3">
      <c r="A275" s="258" t="s">
        <v>347</v>
      </c>
      <c r="B275" s="259"/>
      <c r="C275" s="260"/>
      <c r="D275" s="267">
        <v>1</v>
      </c>
      <c r="E275" s="268"/>
      <c r="F275" s="256">
        <v>288000</v>
      </c>
      <c r="G275" s="257"/>
    </row>
    <row r="276" spans="1:7" ht="18.75" x14ac:dyDescent="0.3">
      <c r="A276" s="258" t="s">
        <v>383</v>
      </c>
      <c r="B276" s="259"/>
      <c r="C276" s="260"/>
      <c r="D276" s="267">
        <v>2</v>
      </c>
      <c r="E276" s="268"/>
      <c r="F276" s="256">
        <v>161990</v>
      </c>
      <c r="G276" s="257"/>
    </row>
    <row r="277" spans="1:7" ht="37.9" customHeight="1" x14ac:dyDescent="0.3">
      <c r="A277" s="258" t="s">
        <v>443</v>
      </c>
      <c r="B277" s="259"/>
      <c r="C277" s="260"/>
      <c r="D277" s="267">
        <v>1</v>
      </c>
      <c r="E277" s="268"/>
      <c r="F277" s="256">
        <v>27500</v>
      </c>
      <c r="G277" s="257"/>
    </row>
    <row r="278" spans="1:7" ht="38.25" customHeight="1" x14ac:dyDescent="0.3">
      <c r="A278" s="258" t="s">
        <v>440</v>
      </c>
      <c r="B278" s="259"/>
      <c r="C278" s="260"/>
      <c r="D278" s="267">
        <v>1</v>
      </c>
      <c r="E278" s="268"/>
      <c r="F278" s="256">
        <f>32863.64+6300</f>
        <v>39163.64</v>
      </c>
      <c r="G278" s="257"/>
    </row>
    <row r="279" spans="1:7" ht="18.75" x14ac:dyDescent="0.3">
      <c r="A279" s="258" t="s">
        <v>146</v>
      </c>
      <c r="B279" s="259"/>
      <c r="C279" s="260"/>
      <c r="D279" s="289"/>
      <c r="E279" s="290"/>
      <c r="F279" s="271">
        <f>'гос.зад на 2023 год '!D58</f>
        <v>11039607.93</v>
      </c>
      <c r="G279" s="273"/>
    </row>
    <row r="280" spans="1:7" ht="18.75" x14ac:dyDescent="0.25">
      <c r="A280" s="8"/>
    </row>
    <row r="281" spans="1:7" ht="18.75" x14ac:dyDescent="0.25">
      <c r="A281" s="280" t="s">
        <v>222</v>
      </c>
      <c r="B281" s="280"/>
      <c r="C281" s="280"/>
      <c r="D281" s="280"/>
      <c r="E281" s="280"/>
      <c r="F281" s="280"/>
      <c r="G281" s="280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63" t="s">
        <v>86</v>
      </c>
      <c r="B285" s="264"/>
      <c r="C285" s="263" t="s">
        <v>137</v>
      </c>
      <c r="D285" s="264"/>
      <c r="E285" s="263" t="s">
        <v>138</v>
      </c>
      <c r="F285" s="292"/>
      <c r="G285" s="264"/>
    </row>
    <row r="286" spans="1:7" ht="18.75" x14ac:dyDescent="0.3">
      <c r="A286" s="263">
        <v>1</v>
      </c>
      <c r="B286" s="264"/>
      <c r="C286" s="263">
        <v>2</v>
      </c>
      <c r="D286" s="264"/>
      <c r="E286" s="254">
        <v>3</v>
      </c>
      <c r="F286" s="291"/>
      <c r="G286" s="255"/>
    </row>
    <row r="287" spans="1:7" ht="18.75" x14ac:dyDescent="0.3">
      <c r="A287" s="258" t="s">
        <v>25</v>
      </c>
      <c r="B287" s="260"/>
      <c r="C287" s="263">
        <v>2</v>
      </c>
      <c r="D287" s="264"/>
      <c r="E287" s="271">
        <f>'гос.зад на 2023 год '!D60</f>
        <v>25067.62</v>
      </c>
      <c r="F287" s="272"/>
      <c r="G287" s="273"/>
    </row>
    <row r="288" spans="1:7" ht="18.75" x14ac:dyDescent="0.3">
      <c r="A288" s="28"/>
      <c r="B288" s="28"/>
      <c r="C288" s="19"/>
      <c r="D288" s="19"/>
      <c r="E288" s="197"/>
      <c r="F288" s="197"/>
      <c r="G288" s="197"/>
    </row>
    <row r="289" spans="1:7" ht="18.75" x14ac:dyDescent="0.25">
      <c r="A289" s="280" t="s">
        <v>250</v>
      </c>
      <c r="B289" s="280"/>
      <c r="C289" s="280"/>
      <c r="D289" s="280"/>
      <c r="E289" s="280"/>
      <c r="F289" s="280"/>
      <c r="G289" s="280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18.75" x14ac:dyDescent="0.25">
      <c r="A293" s="196" t="s">
        <v>86</v>
      </c>
      <c r="B293" s="281" t="s">
        <v>142</v>
      </c>
      <c r="C293" s="281"/>
      <c r="D293" s="281" t="s">
        <v>143</v>
      </c>
      <c r="E293" s="281"/>
      <c r="F293" s="281" t="s">
        <v>150</v>
      </c>
      <c r="G293" s="281"/>
    </row>
    <row r="294" spans="1:7" ht="18.75" x14ac:dyDescent="0.25">
      <c r="A294" s="196">
        <v>1</v>
      </c>
      <c r="B294" s="263">
        <v>2</v>
      </c>
      <c r="C294" s="264"/>
      <c r="D294" s="263">
        <v>3</v>
      </c>
      <c r="E294" s="264"/>
      <c r="F294" s="263">
        <v>4</v>
      </c>
      <c r="G294" s="264"/>
    </row>
    <row r="295" spans="1:7" ht="56.25" x14ac:dyDescent="0.25">
      <c r="A295" s="13" t="s">
        <v>497</v>
      </c>
      <c r="B295" s="263">
        <v>1</v>
      </c>
      <c r="C295" s="264"/>
      <c r="D295" s="261">
        <v>2796500</v>
      </c>
      <c r="E295" s="262"/>
      <c r="F295" s="261">
        <v>2796500</v>
      </c>
      <c r="G295" s="262"/>
    </row>
    <row r="296" spans="1:7" ht="18.75" x14ac:dyDescent="0.25">
      <c r="A296" s="13"/>
      <c r="B296" s="263"/>
      <c r="C296" s="264"/>
      <c r="D296" s="261"/>
      <c r="E296" s="262"/>
      <c r="F296" s="261"/>
      <c r="G296" s="262"/>
    </row>
    <row r="297" spans="1:7" ht="18.75" x14ac:dyDescent="0.25">
      <c r="A297" s="13"/>
      <c r="B297" s="263"/>
      <c r="C297" s="264"/>
      <c r="D297" s="261"/>
      <c r="E297" s="262"/>
      <c r="F297" s="261"/>
      <c r="G297" s="262"/>
    </row>
    <row r="298" spans="1:7" ht="18.75" x14ac:dyDescent="0.25">
      <c r="A298" s="13" t="s">
        <v>146</v>
      </c>
      <c r="B298" s="263"/>
      <c r="C298" s="264"/>
      <c r="D298" s="263"/>
      <c r="E298" s="264"/>
      <c r="F298" s="261">
        <f>'гос.зад на 2023 год '!D96</f>
        <v>2796500</v>
      </c>
      <c r="G298" s="262"/>
    </row>
    <row r="299" spans="1:7" x14ac:dyDescent="0.25">
      <c r="A299" s="23"/>
    </row>
    <row r="300" spans="1:7" ht="18.75" x14ac:dyDescent="0.25">
      <c r="A300" s="288" t="s">
        <v>251</v>
      </c>
      <c r="B300" s="288"/>
      <c r="C300" s="288"/>
      <c r="D300" s="288"/>
      <c r="E300" s="288"/>
      <c r="F300" s="288"/>
      <c r="G300" s="288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81" t="s">
        <v>142</v>
      </c>
      <c r="C304" s="281"/>
      <c r="D304" s="281" t="s">
        <v>143</v>
      </c>
      <c r="E304" s="281"/>
      <c r="F304" s="281" t="s">
        <v>150</v>
      </c>
      <c r="G304" s="281"/>
    </row>
    <row r="305" spans="1:7" ht="18.75" x14ac:dyDescent="0.25">
      <c r="A305" s="106">
        <v>1</v>
      </c>
      <c r="B305" s="263">
        <v>2</v>
      </c>
      <c r="C305" s="264"/>
      <c r="D305" s="263">
        <v>3</v>
      </c>
      <c r="E305" s="264"/>
      <c r="F305" s="263">
        <v>4</v>
      </c>
      <c r="G305" s="264"/>
    </row>
    <row r="306" spans="1:7" ht="18.75" x14ac:dyDescent="0.25">
      <c r="A306" s="13"/>
      <c r="B306" s="265"/>
      <c r="C306" s="266"/>
      <c r="D306" s="261"/>
      <c r="E306" s="262"/>
      <c r="F306" s="261"/>
      <c r="G306" s="262"/>
    </row>
    <row r="307" spans="1:7" ht="18.75" x14ac:dyDescent="0.25">
      <c r="A307" s="13" t="s">
        <v>237</v>
      </c>
      <c r="B307" s="265"/>
      <c r="C307" s="266"/>
      <c r="D307" s="261"/>
      <c r="E307" s="262"/>
      <c r="F307" s="261">
        <f>'гос.зад на 2023 год '!D99</f>
        <v>0</v>
      </c>
      <c r="G307" s="262"/>
    </row>
    <row r="308" spans="1:7" ht="37.5" x14ac:dyDescent="0.25">
      <c r="A308" s="13" t="s">
        <v>439</v>
      </c>
      <c r="B308" s="265"/>
      <c r="C308" s="266"/>
      <c r="D308" s="261"/>
      <c r="E308" s="262"/>
      <c r="F308" s="261"/>
      <c r="G308" s="262"/>
    </row>
    <row r="309" spans="1:7" ht="18.75" x14ac:dyDescent="0.25">
      <c r="A309" s="13" t="s">
        <v>238</v>
      </c>
      <c r="B309" s="265"/>
      <c r="C309" s="266"/>
      <c r="D309" s="261"/>
      <c r="E309" s="262"/>
      <c r="F309" s="261">
        <f>'гос.зад на 2023 год '!D100</f>
        <v>0</v>
      </c>
      <c r="G309" s="262"/>
    </row>
    <row r="310" spans="1:7" ht="18.75" x14ac:dyDescent="0.25">
      <c r="A310" s="13"/>
      <c r="B310" s="265"/>
      <c r="C310" s="266"/>
      <c r="D310" s="261"/>
      <c r="E310" s="262"/>
      <c r="F310" s="261"/>
      <c r="G310" s="262"/>
    </row>
    <row r="311" spans="1:7" ht="18.75" x14ac:dyDescent="0.25">
      <c r="A311" s="13" t="s">
        <v>239</v>
      </c>
      <c r="B311" s="265"/>
      <c r="C311" s="266"/>
      <c r="D311" s="261"/>
      <c r="E311" s="262"/>
      <c r="F311" s="261">
        <f>'гос.зад на 2023 год '!D101</f>
        <v>290000</v>
      </c>
      <c r="G311" s="262"/>
    </row>
    <row r="312" spans="1:7" ht="18.75" x14ac:dyDescent="0.25">
      <c r="A312" s="13" t="s">
        <v>296</v>
      </c>
      <c r="B312" s="269">
        <v>4707.6899999999996</v>
      </c>
      <c r="C312" s="270"/>
      <c r="D312" s="261">
        <v>52</v>
      </c>
      <c r="E312" s="262"/>
      <c r="F312" s="261">
        <v>290000</v>
      </c>
      <c r="G312" s="262"/>
    </row>
    <row r="313" spans="1:7" ht="18.75" x14ac:dyDescent="0.25">
      <c r="A313" s="13" t="s">
        <v>240</v>
      </c>
      <c r="B313" s="265"/>
      <c r="C313" s="266"/>
      <c r="D313" s="261"/>
      <c r="E313" s="262"/>
      <c r="F313" s="261">
        <f>'гос.зад на 2023 год '!D102</f>
        <v>200000</v>
      </c>
      <c r="G313" s="262"/>
    </row>
    <row r="314" spans="1:7" ht="18.75" x14ac:dyDescent="0.25">
      <c r="A314" s="13" t="s">
        <v>297</v>
      </c>
      <c r="B314" s="265">
        <v>2000</v>
      </c>
      <c r="C314" s="266"/>
      <c r="D314" s="261">
        <v>112.39</v>
      </c>
      <c r="E314" s="262"/>
      <c r="F314" s="261">
        <v>200000</v>
      </c>
      <c r="G314" s="262"/>
    </row>
    <row r="315" spans="1:7" ht="18.75" x14ac:dyDescent="0.25">
      <c r="A315" s="13" t="s">
        <v>241</v>
      </c>
      <c r="B315" s="265"/>
      <c r="C315" s="266"/>
      <c r="D315" s="261"/>
      <c r="E315" s="262"/>
      <c r="F315" s="261">
        <f>'гос.зад на 2023 год '!D103</f>
        <v>664128.31000000006</v>
      </c>
      <c r="G315" s="262"/>
    </row>
    <row r="316" spans="1:7" ht="18.75" x14ac:dyDescent="0.25">
      <c r="A316" s="13" t="s">
        <v>377</v>
      </c>
      <c r="B316" s="265"/>
      <c r="C316" s="266"/>
      <c r="D316" s="261"/>
      <c r="E316" s="262"/>
      <c r="F316" s="261"/>
      <c r="G316" s="262"/>
    </row>
    <row r="317" spans="1:7" ht="18.75" x14ac:dyDescent="0.25">
      <c r="A317" s="13" t="s">
        <v>298</v>
      </c>
      <c r="B317" s="265">
        <v>93</v>
      </c>
      <c r="C317" s="266"/>
      <c r="D317" s="261">
        <v>2365.59</v>
      </c>
      <c r="E317" s="262"/>
      <c r="F317" s="261">
        <v>118400.3</v>
      </c>
      <c r="G317" s="262"/>
    </row>
    <row r="318" spans="1:7" ht="18.75" x14ac:dyDescent="0.25">
      <c r="A318" s="13" t="s">
        <v>299</v>
      </c>
      <c r="B318" s="265">
        <v>131</v>
      </c>
      <c r="C318" s="266"/>
      <c r="D318" s="261">
        <v>3740.46</v>
      </c>
      <c r="E318" s="262"/>
      <c r="F318" s="261">
        <v>215844.7</v>
      </c>
      <c r="G318" s="262"/>
    </row>
    <row r="319" spans="1:7" ht="18.75" x14ac:dyDescent="0.25">
      <c r="A319" s="13" t="s">
        <v>242</v>
      </c>
      <c r="B319" s="265"/>
      <c r="C319" s="266"/>
      <c r="D319" s="261"/>
      <c r="E319" s="262"/>
      <c r="F319" s="261">
        <f>'гос.зад на 2023 год '!D104</f>
        <v>8428958.6199999992</v>
      </c>
      <c r="G319" s="262"/>
    </row>
    <row r="320" spans="1:7" ht="18.75" x14ac:dyDescent="0.25">
      <c r="A320" s="13" t="s">
        <v>377</v>
      </c>
      <c r="B320" s="265"/>
      <c r="C320" s="266"/>
      <c r="D320" s="261"/>
      <c r="E320" s="262"/>
      <c r="F320" s="261"/>
      <c r="G320" s="262"/>
    </row>
    <row r="321" spans="1:7" ht="18.75" x14ac:dyDescent="0.25">
      <c r="A321" s="13" t="s">
        <v>301</v>
      </c>
      <c r="B321" s="265">
        <v>1000</v>
      </c>
      <c r="C321" s="266"/>
      <c r="D321" s="261">
        <v>45</v>
      </c>
      <c r="E321" s="262"/>
      <c r="F321" s="261">
        <v>45000</v>
      </c>
      <c r="G321" s="262"/>
    </row>
    <row r="322" spans="1:7" ht="18.75" x14ac:dyDescent="0.25">
      <c r="A322" s="13" t="s">
        <v>302</v>
      </c>
      <c r="B322" s="265">
        <v>1999</v>
      </c>
      <c r="C322" s="266"/>
      <c r="D322" s="261">
        <v>22.9</v>
      </c>
      <c r="E322" s="262"/>
      <c r="F322" s="261">
        <v>45777.120000000003</v>
      </c>
      <c r="G322" s="262"/>
    </row>
    <row r="323" spans="1:7" ht="18.75" x14ac:dyDescent="0.25">
      <c r="A323" s="13" t="s">
        <v>413</v>
      </c>
      <c r="B323" s="265">
        <v>141</v>
      </c>
      <c r="C323" s="266"/>
      <c r="D323" s="261">
        <v>2593.62</v>
      </c>
      <c r="E323" s="262"/>
      <c r="F323" s="261">
        <f>45000+180700+140000</f>
        <v>365700</v>
      </c>
      <c r="G323" s="262"/>
    </row>
    <row r="324" spans="1:7" ht="18.75" x14ac:dyDescent="0.25">
      <c r="A324" s="13" t="s">
        <v>304</v>
      </c>
      <c r="B324" s="265">
        <v>200</v>
      </c>
      <c r="C324" s="266"/>
      <c r="D324" s="261">
        <v>1400</v>
      </c>
      <c r="E324" s="262"/>
      <c r="F324" s="261">
        <v>280000</v>
      </c>
      <c r="G324" s="262"/>
    </row>
    <row r="325" spans="1:7" ht="37.5" x14ac:dyDescent="0.25">
      <c r="A325" s="13" t="s">
        <v>305</v>
      </c>
      <c r="B325" s="265">
        <v>1500</v>
      </c>
      <c r="C325" s="266"/>
      <c r="D325" s="261">
        <v>10583.49</v>
      </c>
      <c r="E325" s="262"/>
      <c r="F325" s="261">
        <v>1647953.8</v>
      </c>
      <c r="G325" s="262"/>
    </row>
    <row r="326" spans="1:7" ht="18.75" x14ac:dyDescent="0.25">
      <c r="A326" s="13" t="s">
        <v>378</v>
      </c>
      <c r="B326" s="265"/>
      <c r="C326" s="266"/>
      <c r="D326" s="261"/>
      <c r="E326" s="262"/>
      <c r="F326" s="261"/>
      <c r="G326" s="262"/>
    </row>
    <row r="327" spans="1:7" ht="18.75" x14ac:dyDescent="0.25">
      <c r="A327" s="13" t="s">
        <v>412</v>
      </c>
      <c r="B327" s="265">
        <v>1000</v>
      </c>
      <c r="C327" s="266"/>
      <c r="D327" s="261">
        <v>162.62</v>
      </c>
      <c r="E327" s="262"/>
      <c r="F327" s="261">
        <v>162620</v>
      </c>
      <c r="G327" s="262"/>
    </row>
    <row r="328" spans="1:7" ht="18.75" x14ac:dyDescent="0.25">
      <c r="A328" s="13" t="s">
        <v>413</v>
      </c>
      <c r="B328" s="265">
        <v>500</v>
      </c>
      <c r="C328" s="266"/>
      <c r="D328" s="261">
        <v>28.13</v>
      </c>
      <c r="E328" s="262"/>
      <c r="F328" s="261">
        <v>14065.7</v>
      </c>
      <c r="G328" s="262"/>
    </row>
    <row r="329" spans="1:7" ht="37.5" x14ac:dyDescent="0.25">
      <c r="A329" s="13" t="s">
        <v>414</v>
      </c>
      <c r="B329" s="265">
        <v>30</v>
      </c>
      <c r="C329" s="266"/>
      <c r="D329" s="261">
        <v>212.51</v>
      </c>
      <c r="E329" s="262"/>
      <c r="F329" s="261">
        <v>6375.3</v>
      </c>
      <c r="G329" s="262"/>
    </row>
    <row r="330" spans="1:7" ht="37.5" x14ac:dyDescent="0.25">
      <c r="A330" s="13" t="s">
        <v>415</v>
      </c>
      <c r="B330" s="265">
        <v>12</v>
      </c>
      <c r="C330" s="266"/>
      <c r="D330" s="261">
        <v>13858.18</v>
      </c>
      <c r="E330" s="262"/>
      <c r="F330" s="261">
        <v>166298.20000000001</v>
      </c>
      <c r="G330" s="262"/>
    </row>
    <row r="331" spans="1:7" ht="18.75" x14ac:dyDescent="0.25">
      <c r="A331" s="13" t="s">
        <v>416</v>
      </c>
      <c r="B331" s="265">
        <v>1000</v>
      </c>
      <c r="C331" s="266"/>
      <c r="D331" s="261">
        <v>8.31</v>
      </c>
      <c r="E331" s="262"/>
      <c r="F331" s="261">
        <v>8310</v>
      </c>
      <c r="G331" s="262"/>
    </row>
    <row r="332" spans="1:7" ht="18.75" x14ac:dyDescent="0.25">
      <c r="A332" s="13" t="s">
        <v>301</v>
      </c>
      <c r="B332" s="265">
        <v>1000</v>
      </c>
      <c r="C332" s="266"/>
      <c r="D332" s="261">
        <v>277.19</v>
      </c>
      <c r="E332" s="262"/>
      <c r="F332" s="261">
        <v>277190</v>
      </c>
      <c r="G332" s="262"/>
    </row>
    <row r="333" spans="1:7" ht="37.5" x14ac:dyDescent="0.25">
      <c r="A333" s="13" t="s">
        <v>305</v>
      </c>
      <c r="B333" s="265">
        <v>80</v>
      </c>
      <c r="C333" s="266"/>
      <c r="D333" s="261">
        <v>3926.75</v>
      </c>
      <c r="E333" s="262"/>
      <c r="F333" s="261">
        <v>5089972</v>
      </c>
      <c r="G333" s="262"/>
    </row>
    <row r="334" spans="1:7" ht="18.75" x14ac:dyDescent="0.25">
      <c r="A334" s="13" t="s">
        <v>417</v>
      </c>
      <c r="B334" s="265">
        <v>70</v>
      </c>
      <c r="C334" s="266"/>
      <c r="D334" s="261">
        <v>791.95</v>
      </c>
      <c r="E334" s="262"/>
      <c r="F334" s="261">
        <v>55436.5</v>
      </c>
      <c r="G334" s="262"/>
    </row>
    <row r="335" spans="1:7" ht="18.75" x14ac:dyDescent="0.25">
      <c r="A335" s="13" t="s">
        <v>428</v>
      </c>
      <c r="B335" s="265">
        <v>2000</v>
      </c>
      <c r="C335" s="266"/>
      <c r="D335" s="261">
        <v>132.13</v>
      </c>
      <c r="E335" s="262"/>
      <c r="F335" s="261">
        <v>264260</v>
      </c>
      <c r="G335" s="262"/>
    </row>
    <row r="336" spans="1:7" ht="18.75" x14ac:dyDescent="0.25">
      <c r="A336" s="13" t="s">
        <v>364</v>
      </c>
      <c r="B336" s="265"/>
      <c r="C336" s="266"/>
      <c r="D336" s="261"/>
      <c r="E336" s="262"/>
      <c r="F336" s="261">
        <f>'гос.зад на 2023 год '!D105</f>
        <v>0</v>
      </c>
      <c r="G336" s="262"/>
    </row>
    <row r="337" spans="1:7" ht="18.75" x14ac:dyDescent="0.25">
      <c r="A337" s="13" t="s">
        <v>243</v>
      </c>
      <c r="B337" s="265"/>
      <c r="C337" s="266"/>
      <c r="D337" s="261"/>
      <c r="E337" s="262"/>
      <c r="F337" s="261">
        <f>'гос.зад на 2023 год '!D106</f>
        <v>148700</v>
      </c>
      <c r="G337" s="262"/>
    </row>
    <row r="338" spans="1:7" ht="18.75" x14ac:dyDescent="0.25">
      <c r="A338" s="13" t="s">
        <v>476</v>
      </c>
      <c r="B338" s="265">
        <v>300</v>
      </c>
      <c r="C338" s="266"/>
      <c r="D338" s="261">
        <f>F338/B338</f>
        <v>495.66666666666669</v>
      </c>
      <c r="E338" s="262"/>
      <c r="F338" s="261">
        <v>148700</v>
      </c>
      <c r="G338" s="262"/>
    </row>
    <row r="339" spans="1:7" ht="18.75" x14ac:dyDescent="0.25">
      <c r="A339" s="15"/>
      <c r="B339" s="127"/>
      <c r="C339" s="127"/>
      <c r="D339" s="82"/>
      <c r="E339" s="82"/>
      <c r="F339" s="82"/>
      <c r="G339" s="82"/>
    </row>
    <row r="340" spans="1:7" ht="18.75" x14ac:dyDescent="0.3">
      <c r="A340" s="29" t="s">
        <v>151</v>
      </c>
      <c r="B340" s="10"/>
      <c r="C340" s="227"/>
      <c r="D340" s="227"/>
      <c r="E340" s="10"/>
      <c r="F340" s="227" t="s">
        <v>478</v>
      </c>
      <c r="G340" s="227"/>
    </row>
    <row r="341" spans="1:7" ht="18.75" x14ac:dyDescent="0.3">
      <c r="A341" s="29"/>
      <c r="B341" s="10"/>
      <c r="C341" s="226" t="s">
        <v>53</v>
      </c>
      <c r="D341" s="226"/>
      <c r="E341" s="10"/>
      <c r="F341" s="226" t="s">
        <v>54</v>
      </c>
      <c r="G341" s="226"/>
    </row>
    <row r="342" spans="1:7" ht="18.75" x14ac:dyDescent="0.3">
      <c r="A342" s="29"/>
      <c r="B342" s="10"/>
      <c r="C342" s="104"/>
      <c r="D342" s="104"/>
      <c r="E342" s="10"/>
      <c r="F342" s="104"/>
      <c r="G342" s="104"/>
    </row>
    <row r="343" spans="1:7" ht="37.5" x14ac:dyDescent="0.3">
      <c r="A343" s="29" t="s">
        <v>152</v>
      </c>
      <c r="B343" s="10"/>
      <c r="C343" s="227"/>
      <c r="D343" s="227"/>
      <c r="E343" s="10"/>
      <c r="F343" s="227" t="s">
        <v>482</v>
      </c>
      <c r="G343" s="227"/>
    </row>
    <row r="344" spans="1:7" ht="18.75" x14ac:dyDescent="0.3">
      <c r="A344" s="29"/>
      <c r="B344" s="10"/>
      <c r="C344" s="226" t="s">
        <v>53</v>
      </c>
      <c r="D344" s="226"/>
      <c r="E344" s="10"/>
      <c r="F344" s="226" t="s">
        <v>54</v>
      </c>
      <c r="G344" s="226"/>
    </row>
    <row r="345" spans="1:7" ht="18.75" x14ac:dyDescent="0.3">
      <c r="A345" s="29"/>
      <c r="B345" s="10"/>
      <c r="C345" s="104"/>
      <c r="D345" s="104"/>
      <c r="E345" s="10"/>
      <c r="F345" s="104"/>
      <c r="G345" s="104"/>
    </row>
    <row r="346" spans="1:7" ht="18.75" x14ac:dyDescent="0.3">
      <c r="A346" s="29" t="s">
        <v>153</v>
      </c>
      <c r="B346" s="10"/>
      <c r="C346" s="227"/>
      <c r="D346" s="227"/>
      <c r="E346" s="10"/>
      <c r="F346" s="227" t="s">
        <v>482</v>
      </c>
      <c r="G346" s="227"/>
    </row>
    <row r="347" spans="1:7" ht="18.75" x14ac:dyDescent="0.3">
      <c r="A347" s="29"/>
      <c r="B347" s="10"/>
      <c r="C347" s="226" t="s">
        <v>53</v>
      </c>
      <c r="D347" s="226"/>
      <c r="E347" s="10"/>
      <c r="F347" s="226" t="s">
        <v>54</v>
      </c>
      <c r="G347" s="226"/>
    </row>
    <row r="348" spans="1:7" ht="18.75" x14ac:dyDescent="0.3">
      <c r="A348" s="29" t="s">
        <v>154</v>
      </c>
      <c r="B348" s="10"/>
      <c r="C348" s="10"/>
      <c r="D348" s="10"/>
      <c r="E348" s="10"/>
      <c r="F348" s="10"/>
      <c r="G348" s="10"/>
    </row>
    <row r="349" spans="1:7" ht="18.75" x14ac:dyDescent="0.3">
      <c r="A349" s="225" t="s">
        <v>44</v>
      </c>
      <c r="B349" s="225"/>
      <c r="C349" s="10"/>
      <c r="D349" s="10"/>
      <c r="E349" s="10"/>
      <c r="F349" s="10"/>
      <c r="G349" s="10"/>
    </row>
  </sheetData>
  <mergeCells count="484">
    <mergeCell ref="A244:C244"/>
    <mergeCell ref="D244:E244"/>
    <mergeCell ref="F244:G244"/>
    <mergeCell ref="A259:C259"/>
    <mergeCell ref="D259:E259"/>
    <mergeCell ref="F259:G259"/>
    <mergeCell ref="A258:C258"/>
    <mergeCell ref="D258:E258"/>
    <mergeCell ref="A255:C255"/>
    <mergeCell ref="D255:E255"/>
    <mergeCell ref="F255:G255"/>
    <mergeCell ref="A257:C257"/>
    <mergeCell ref="D257:E257"/>
    <mergeCell ref="F257:G257"/>
    <mergeCell ref="A252:C252"/>
    <mergeCell ref="D252:E252"/>
    <mergeCell ref="F252:G252"/>
    <mergeCell ref="A253:C253"/>
    <mergeCell ref="D253:E253"/>
    <mergeCell ref="F253:G253"/>
    <mergeCell ref="A254:C254"/>
    <mergeCell ref="D254:E254"/>
    <mergeCell ref="A273:C273"/>
    <mergeCell ref="D273:E273"/>
    <mergeCell ref="F273:G273"/>
    <mergeCell ref="A277:C277"/>
    <mergeCell ref="A271:C271"/>
    <mergeCell ref="D271:E271"/>
    <mergeCell ref="F271:G271"/>
    <mergeCell ref="A289:G289"/>
    <mergeCell ref="B293:C293"/>
    <mergeCell ref="D293:E293"/>
    <mergeCell ref="F293:G293"/>
    <mergeCell ref="D277:E277"/>
    <mergeCell ref="F277:G277"/>
    <mergeCell ref="F274:G274"/>
    <mergeCell ref="A281:G281"/>
    <mergeCell ref="A285:B285"/>
    <mergeCell ref="C285:D285"/>
    <mergeCell ref="E285:G285"/>
    <mergeCell ref="B338:C338"/>
    <mergeCell ref="D338:E338"/>
    <mergeCell ref="F338:G338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36:C336"/>
    <mergeCell ref="D336:E336"/>
    <mergeCell ref="F336:G336"/>
    <mergeCell ref="B330:C330"/>
    <mergeCell ref="D330:E330"/>
    <mergeCell ref="F330:G330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D232:E232"/>
    <mergeCell ref="F156:G156"/>
    <mergeCell ref="B157:C157"/>
    <mergeCell ref="D157:E157"/>
    <mergeCell ref="F157:G157"/>
    <mergeCell ref="A235:C235"/>
    <mergeCell ref="D235:E235"/>
    <mergeCell ref="F235:G235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3:C233"/>
    <mergeCell ref="D233:E233"/>
    <mergeCell ref="F233:G233"/>
    <mergeCell ref="F232:G232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243:C243"/>
    <mergeCell ref="D243:E243"/>
    <mergeCell ref="F243:G243"/>
    <mergeCell ref="A224:C224"/>
    <mergeCell ref="D224:E224"/>
    <mergeCell ref="F224:G224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0:C230"/>
    <mergeCell ref="D230:E230"/>
    <mergeCell ref="F242:G242"/>
    <mergeCell ref="A225:C225"/>
    <mergeCell ref="D225:E225"/>
    <mergeCell ref="F225:G225"/>
    <mergeCell ref="A238:C238"/>
    <mergeCell ref="A234:C234"/>
    <mergeCell ref="D234:E234"/>
    <mergeCell ref="A267:C267"/>
    <mergeCell ref="D267:E267"/>
    <mergeCell ref="F267:G267"/>
    <mergeCell ref="A245:C245"/>
    <mergeCell ref="D245:E245"/>
    <mergeCell ref="F245:G245"/>
    <mergeCell ref="A246:C246"/>
    <mergeCell ref="D246:E246"/>
    <mergeCell ref="F246:G246"/>
    <mergeCell ref="A250:C250"/>
    <mergeCell ref="D250:E250"/>
    <mergeCell ref="F250:G250"/>
    <mergeCell ref="F256:G256"/>
    <mergeCell ref="A262:G262"/>
    <mergeCell ref="A260:C260"/>
    <mergeCell ref="D260:E260"/>
    <mergeCell ref="F260:G260"/>
    <mergeCell ref="F254:G254"/>
    <mergeCell ref="A256:C256"/>
    <mergeCell ref="D256:E256"/>
    <mergeCell ref="F258:G258"/>
    <mergeCell ref="A266:C266"/>
    <mergeCell ref="D266:E266"/>
    <mergeCell ref="F266:G266"/>
    <mergeCell ref="A268:C268"/>
    <mergeCell ref="D268:E268"/>
    <mergeCell ref="F268:G268"/>
    <mergeCell ref="A269:C269"/>
    <mergeCell ref="D269:E269"/>
    <mergeCell ref="F269:G269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D306:E306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B294:C294"/>
    <mergeCell ref="F141:G141"/>
    <mergeCell ref="C139:D139"/>
    <mergeCell ref="C140:D140"/>
    <mergeCell ref="C141:D141"/>
    <mergeCell ref="A349:B349"/>
    <mergeCell ref="C344:D344"/>
    <mergeCell ref="F344:G344"/>
    <mergeCell ref="C346:D346"/>
    <mergeCell ref="F346:G346"/>
    <mergeCell ref="C347:D347"/>
    <mergeCell ref="F347:G347"/>
    <mergeCell ref="C340:D340"/>
    <mergeCell ref="F340:G340"/>
    <mergeCell ref="C341:D341"/>
    <mergeCell ref="F341:G341"/>
    <mergeCell ref="C343:D343"/>
    <mergeCell ref="F343:G343"/>
    <mergeCell ref="B337:C337"/>
    <mergeCell ref="D337:E337"/>
    <mergeCell ref="F337:G337"/>
    <mergeCell ref="B211:C211"/>
    <mergeCell ref="B319:C319"/>
    <mergeCell ref="D319:E319"/>
    <mergeCell ref="A220:G220"/>
    <mergeCell ref="B215:C215"/>
    <mergeCell ref="D215:E215"/>
    <mergeCell ref="B218:C218"/>
    <mergeCell ref="D218:E218"/>
    <mergeCell ref="F218:G218"/>
    <mergeCell ref="A226:C226"/>
    <mergeCell ref="D226:E226"/>
    <mergeCell ref="F226:G226"/>
    <mergeCell ref="B216:C216"/>
    <mergeCell ref="D216:E216"/>
    <mergeCell ref="F215:G216"/>
    <mergeCell ref="F217:G217"/>
    <mergeCell ref="B217:C217"/>
    <mergeCell ref="D217:E217"/>
    <mergeCell ref="F234:G234"/>
    <mergeCell ref="A241:C241"/>
    <mergeCell ref="F230:G230"/>
    <mergeCell ref="A239:C239"/>
    <mergeCell ref="D239:E239"/>
    <mergeCell ref="F239:G239"/>
    <mergeCell ref="A237:C237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70:C270"/>
    <mergeCell ref="D270:E270"/>
    <mergeCell ref="F270:G270"/>
    <mergeCell ref="A272:C272"/>
    <mergeCell ref="D272:E272"/>
    <mergeCell ref="F272:G272"/>
    <mergeCell ref="B329:C329"/>
    <mergeCell ref="D329:E329"/>
    <mergeCell ref="F329:G329"/>
    <mergeCell ref="F319:G319"/>
    <mergeCell ref="B312:C312"/>
    <mergeCell ref="D312:E312"/>
    <mergeCell ref="F312:G312"/>
    <mergeCell ref="B313:C313"/>
    <mergeCell ref="D313:E313"/>
    <mergeCell ref="F313:G313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333:C333"/>
    <mergeCell ref="D333:E333"/>
    <mergeCell ref="F333:G333"/>
    <mergeCell ref="B334:C334"/>
    <mergeCell ref="D334:E334"/>
    <mergeCell ref="F334:G334"/>
    <mergeCell ref="F321:G321"/>
    <mergeCell ref="B324:C324"/>
    <mergeCell ref="D324:E324"/>
    <mergeCell ref="F324:G324"/>
    <mergeCell ref="B325:C325"/>
    <mergeCell ref="D325:E325"/>
    <mergeCell ref="F325:G325"/>
    <mergeCell ref="F241:G241"/>
    <mergeCell ref="A242:C242"/>
    <mergeCell ref="D242:E242"/>
    <mergeCell ref="B328:C328"/>
    <mergeCell ref="D328:E328"/>
    <mergeCell ref="F328:G328"/>
    <mergeCell ref="D238:E238"/>
    <mergeCell ref="F238:G238"/>
    <mergeCell ref="B322:C322"/>
    <mergeCell ref="D322:E322"/>
    <mergeCell ref="F322:G322"/>
    <mergeCell ref="B314:C314"/>
    <mergeCell ref="D314:E314"/>
    <mergeCell ref="F314:G314"/>
    <mergeCell ref="B315:C315"/>
    <mergeCell ref="D315:E315"/>
    <mergeCell ref="D241:E241"/>
    <mergeCell ref="F315:G315"/>
    <mergeCell ref="B317:C317"/>
    <mergeCell ref="D317:E317"/>
    <mergeCell ref="F317:G317"/>
    <mergeCell ref="B318:C318"/>
    <mergeCell ref="D318:E318"/>
    <mergeCell ref="F318:G318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  <mergeCell ref="F297:G297"/>
    <mergeCell ref="A231:C231"/>
    <mergeCell ref="D231:E231"/>
    <mergeCell ref="F231:G231"/>
    <mergeCell ref="A251:C251"/>
    <mergeCell ref="D251:E251"/>
    <mergeCell ref="F251:G251"/>
    <mergeCell ref="A240:C240"/>
    <mergeCell ref="D240:E240"/>
    <mergeCell ref="F240:G240"/>
    <mergeCell ref="A247:C247"/>
    <mergeCell ref="D247:E247"/>
    <mergeCell ref="F247:G247"/>
    <mergeCell ref="A248:C248"/>
    <mergeCell ref="D248:E248"/>
    <mergeCell ref="F248:G248"/>
    <mergeCell ref="A249:C249"/>
    <mergeCell ref="D249:E249"/>
    <mergeCell ref="F249:G249"/>
    <mergeCell ref="D237:E237"/>
    <mergeCell ref="F237:G237"/>
    <mergeCell ref="A236:C236"/>
    <mergeCell ref="D236:E236"/>
    <mergeCell ref="F236:G236"/>
    <mergeCell ref="A232:C232"/>
  </mergeCells>
  <pageMargins left="1.3779527559055118" right="0.39370078740157483" top="0.98425196850393704" bottom="0.78740157480314965" header="0.31496062992125984" footer="0.31496062992125984"/>
  <pageSetup paperSize="9" scale="47" orientation="portrait" r:id="rId1"/>
  <rowBreaks count="5" manualBreakCount="5">
    <brk id="51" max="6" man="1"/>
    <brk id="114" max="6" man="1"/>
    <brk id="165" max="6" man="1"/>
    <brk id="218" max="6" man="1"/>
    <brk id="2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1"/>
  <sheetViews>
    <sheetView view="pageBreakPreview" topLeftCell="A58" zoomScaleNormal="100" zoomScaleSheetLayoutView="100" workbookViewId="0">
      <selection activeCell="I131" sqref="I13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40" t="s">
        <v>190</v>
      </c>
      <c r="B1" s="240"/>
      <c r="C1" s="240"/>
      <c r="D1" s="240"/>
      <c r="E1" s="240"/>
      <c r="F1" s="240"/>
    </row>
    <row r="2" spans="1:11" ht="18.75" x14ac:dyDescent="0.25">
      <c r="A2" s="240" t="s">
        <v>485</v>
      </c>
      <c r="B2" s="240"/>
      <c r="C2" s="240"/>
      <c r="D2" s="240"/>
      <c r="E2" s="240"/>
      <c r="F2" s="240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47"/>
    </row>
    <row r="6" spans="1:11" ht="126.75" thickBot="1" x14ac:dyDescent="0.3">
      <c r="A6" s="233"/>
      <c r="B6" s="235"/>
      <c r="C6" s="237"/>
      <c r="D6" s="235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3790061.87</v>
      </c>
      <c r="E8" s="202">
        <v>3790061.87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03">
        <f>E8+E10-E25+E111</f>
        <v>0</v>
      </c>
      <c r="F9" s="5">
        <f>F8+F10-F25+F111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217090</v>
      </c>
      <c r="E10" s="204">
        <f>E12+E13+E14+E15+E16+E17+E21</f>
        <v>217090</v>
      </c>
      <c r="F10" s="4">
        <f>F12+F13+F14+F15+F16+F17+F21+F106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1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217090</v>
      </c>
      <c r="E13" s="204">
        <f>188665+28425</f>
        <v>217090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04">
        <f>0</f>
        <v>0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4007151.87</v>
      </c>
      <c r="E25" s="204">
        <f>E27+E97</f>
        <v>4007151.87</v>
      </c>
      <c r="F25" s="2">
        <f>F27+F97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1182660</v>
      </c>
      <c r="E27" s="204">
        <f>E29+E37+E67+E76</f>
        <v>1182660</v>
      </c>
      <c r="F27" s="2">
        <f>F29+F37+F67+F76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1080660</v>
      </c>
      <c r="E29" s="204">
        <f>E31+E32+E33+E34</f>
        <v>1080660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830000</v>
      </c>
      <c r="E31" s="204">
        <f>830000</f>
        <v>830000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250660</v>
      </c>
      <c r="E33" s="204">
        <f>250660</f>
        <v>250660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38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39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102000</v>
      </c>
      <c r="E37" s="204">
        <f>E39+E40+E43+E54+E55+E58+E65+E66</f>
        <v>102000</v>
      </c>
      <c r="F37" s="2">
        <f>F39+F40+F43+F54+F55+F58+F65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436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12000</v>
      </c>
      <c r="E55" s="204">
        <f>E56+E57</f>
        <v>12000</v>
      </c>
      <c r="F55" s="2">
        <f t="shared" si="8"/>
        <v>0</v>
      </c>
    </row>
    <row r="56" spans="1:6" ht="18.75" x14ac:dyDescent="0.25">
      <c r="A56" s="224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24"/>
      <c r="B57" s="119">
        <v>244</v>
      </c>
      <c r="C57" s="119">
        <v>225</v>
      </c>
      <c r="D57" s="5">
        <f t="shared" si="0"/>
        <v>12000</v>
      </c>
      <c r="E57" s="204">
        <f>12000</f>
        <v>12000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90000</v>
      </c>
      <c r="E58" s="204">
        <f>E59+E60+E62+E63+E61+E64</f>
        <v>90000</v>
      </c>
      <c r="F58" s="2">
        <f>F59+F60+F62+F63+F61</f>
        <v>0</v>
      </c>
    </row>
    <row r="59" spans="1:6" ht="18.75" x14ac:dyDescent="0.25">
      <c r="A59" s="241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42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42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42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42"/>
      <c r="B63" s="119">
        <v>244</v>
      </c>
      <c r="C63" s="119">
        <v>226</v>
      </c>
      <c r="D63" s="5">
        <f t="shared" si="0"/>
        <v>10000</v>
      </c>
      <c r="E63" s="204">
        <f>10000</f>
        <v>10000</v>
      </c>
      <c r="F63" s="2"/>
    </row>
    <row r="64" spans="1:6" ht="18.75" x14ac:dyDescent="0.25">
      <c r="A64" s="243"/>
      <c r="B64" s="221">
        <v>323</v>
      </c>
      <c r="C64" s="221">
        <v>226</v>
      </c>
      <c r="D64" s="5"/>
      <c r="E64" s="204"/>
      <c r="F64" s="2"/>
    </row>
    <row r="65" spans="1:6" ht="18.75" x14ac:dyDescent="0.25">
      <c r="A65" s="115" t="s">
        <v>25</v>
      </c>
      <c r="B65" s="119">
        <v>244</v>
      </c>
      <c r="C65" s="119">
        <v>227</v>
      </c>
      <c r="D65" s="5">
        <f t="shared" si="0"/>
        <v>0</v>
      </c>
      <c r="E65" s="204">
        <v>0</v>
      </c>
      <c r="F65" s="2"/>
    </row>
    <row r="66" spans="1:6" ht="56.25" x14ac:dyDescent="0.25">
      <c r="A66" s="170" t="s">
        <v>340</v>
      </c>
      <c r="B66" s="171">
        <v>244</v>
      </c>
      <c r="C66" s="171">
        <v>228</v>
      </c>
      <c r="D66" s="5">
        <f t="shared" ref="D66:D67" si="9">E66+F66</f>
        <v>0</v>
      </c>
      <c r="E66" s="204">
        <v>0</v>
      </c>
      <c r="F66" s="2"/>
    </row>
    <row r="67" spans="1:6" ht="150" x14ac:dyDescent="0.25">
      <c r="A67" s="115" t="s">
        <v>490</v>
      </c>
      <c r="B67" s="119">
        <v>244</v>
      </c>
      <c r="C67" s="119">
        <v>229</v>
      </c>
      <c r="D67" s="5">
        <f t="shared" si="9"/>
        <v>0</v>
      </c>
      <c r="E67" s="204">
        <v>0</v>
      </c>
      <c r="F67" s="2"/>
    </row>
    <row r="68" spans="1:6" ht="93.75" x14ac:dyDescent="0.25">
      <c r="A68" s="212" t="s">
        <v>479</v>
      </c>
      <c r="B68" s="213">
        <v>323</v>
      </c>
      <c r="C68" s="213">
        <v>263</v>
      </c>
      <c r="D68" s="5"/>
      <c r="E68" s="204"/>
      <c r="F68" s="2"/>
    </row>
    <row r="69" spans="1:6" ht="112.5" x14ac:dyDescent="0.25">
      <c r="A69" s="115" t="s">
        <v>27</v>
      </c>
      <c r="B69" s="119">
        <v>321</v>
      </c>
      <c r="C69" s="119">
        <v>264</v>
      </c>
      <c r="D69" s="5">
        <f t="shared" si="0"/>
        <v>0</v>
      </c>
      <c r="E69" s="204">
        <v>0</v>
      </c>
      <c r="F69" s="2"/>
    </row>
    <row r="70" spans="1:6" ht="168.75" x14ac:dyDescent="0.25">
      <c r="A70" s="192" t="s">
        <v>435</v>
      </c>
      <c r="B70" s="193">
        <v>119</v>
      </c>
      <c r="C70" s="193">
        <v>265</v>
      </c>
      <c r="D70" s="5">
        <f t="shared" ref="D70" si="10">E70+F70</f>
        <v>0</v>
      </c>
      <c r="E70" s="204">
        <v>0</v>
      </c>
      <c r="F70" s="2"/>
    </row>
    <row r="71" spans="1:6" ht="93.75" x14ac:dyDescent="0.25">
      <c r="A71" s="115" t="s">
        <v>28</v>
      </c>
      <c r="B71" s="119" t="s">
        <v>5</v>
      </c>
      <c r="C71" s="119">
        <v>266</v>
      </c>
      <c r="D71" s="5">
        <f t="shared" si="0"/>
        <v>0</v>
      </c>
      <c r="E71" s="204">
        <f t="shared" ref="E71:F71" si="11">E72+E73</f>
        <v>0</v>
      </c>
      <c r="F71" s="2">
        <f t="shared" si="11"/>
        <v>0</v>
      </c>
    </row>
    <row r="72" spans="1:6" ht="18.75" x14ac:dyDescent="0.25">
      <c r="A72" s="224" t="s">
        <v>6</v>
      </c>
      <c r="B72" s="119">
        <v>111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24"/>
      <c r="B73" s="119">
        <v>112</v>
      </c>
      <c r="C73" s="119">
        <v>266</v>
      </c>
      <c r="D73" s="5">
        <f t="shared" si="0"/>
        <v>0</v>
      </c>
      <c r="E73" s="204">
        <v>0</v>
      </c>
      <c r="F73" s="2"/>
    </row>
    <row r="74" spans="1:6" ht="18.75" x14ac:dyDescent="0.25">
      <c r="A74" s="212"/>
      <c r="B74" s="213">
        <v>119</v>
      </c>
      <c r="C74" s="213">
        <v>266</v>
      </c>
      <c r="D74" s="5">
        <f t="shared" ref="D74" si="12">E74+F74</f>
        <v>0</v>
      </c>
      <c r="E74" s="204">
        <v>0</v>
      </c>
      <c r="F74" s="2"/>
    </row>
    <row r="75" spans="1:6" ht="75" x14ac:dyDescent="0.25">
      <c r="A75" s="115" t="s">
        <v>29</v>
      </c>
      <c r="B75" s="119">
        <v>112</v>
      </c>
      <c r="C75" s="119">
        <v>267</v>
      </c>
      <c r="D75" s="5">
        <f t="shared" si="0"/>
        <v>0</v>
      </c>
      <c r="E75" s="204">
        <v>0</v>
      </c>
      <c r="F75" s="2"/>
    </row>
    <row r="76" spans="1:6" ht="18.75" x14ac:dyDescent="0.25">
      <c r="A76" s="115" t="s">
        <v>30</v>
      </c>
      <c r="B76" s="119" t="s">
        <v>5</v>
      </c>
      <c r="C76" s="119">
        <v>290</v>
      </c>
      <c r="D76" s="5">
        <f t="shared" si="0"/>
        <v>0</v>
      </c>
      <c r="E76" s="204">
        <f>E78+E82+E83+E84+E85+E92</f>
        <v>0</v>
      </c>
      <c r="F76" s="2">
        <f>F78+F82+F83+F84+F85+F92</f>
        <v>0</v>
      </c>
    </row>
    <row r="77" spans="1:6" ht="18.75" x14ac:dyDescent="0.25">
      <c r="A77" s="115" t="s">
        <v>9</v>
      </c>
      <c r="B77" s="119"/>
      <c r="C77" s="119"/>
      <c r="D77" s="5">
        <f t="shared" si="0"/>
        <v>0</v>
      </c>
      <c r="E77" s="204"/>
      <c r="F77" s="2"/>
    </row>
    <row r="78" spans="1:6" ht="37.5" x14ac:dyDescent="0.25">
      <c r="A78" s="115" t="s">
        <v>31</v>
      </c>
      <c r="B78" s="119" t="s">
        <v>5</v>
      </c>
      <c r="C78" s="119">
        <v>291</v>
      </c>
      <c r="D78" s="5">
        <f t="shared" si="0"/>
        <v>0</v>
      </c>
      <c r="E78" s="204">
        <f t="shared" ref="E78:F78" si="13">E79+E80+E81</f>
        <v>0</v>
      </c>
      <c r="F78" s="2">
        <f t="shared" si="13"/>
        <v>0</v>
      </c>
    </row>
    <row r="79" spans="1:6" ht="18.75" x14ac:dyDescent="0.25">
      <c r="A79" s="224" t="s">
        <v>6</v>
      </c>
      <c r="B79" s="119">
        <v>851</v>
      </c>
      <c r="C79" s="119">
        <v>291</v>
      </c>
      <c r="D79" s="5">
        <f t="shared" si="0"/>
        <v>0</v>
      </c>
      <c r="E79" s="204">
        <v>0</v>
      </c>
      <c r="F79" s="2"/>
    </row>
    <row r="80" spans="1:6" ht="18.75" x14ac:dyDescent="0.25">
      <c r="A80" s="224"/>
      <c r="B80" s="119">
        <v>852</v>
      </c>
      <c r="C80" s="119">
        <v>291</v>
      </c>
      <c r="D80" s="5">
        <f t="shared" si="0"/>
        <v>0</v>
      </c>
      <c r="E80" s="204">
        <f>0</f>
        <v>0</v>
      </c>
      <c r="F80" s="2"/>
    </row>
    <row r="81" spans="1:6" ht="18.75" x14ac:dyDescent="0.25">
      <c r="A81" s="224"/>
      <c r="B81" s="119">
        <v>853</v>
      </c>
      <c r="C81" s="119">
        <v>291</v>
      </c>
      <c r="D81" s="5">
        <f t="shared" si="0"/>
        <v>0</v>
      </c>
      <c r="E81" s="204">
        <v>0</v>
      </c>
      <c r="F81" s="2"/>
    </row>
    <row r="82" spans="1:6" ht="112.5" x14ac:dyDescent="0.25">
      <c r="A82" s="115" t="s">
        <v>32</v>
      </c>
      <c r="B82" s="119">
        <v>853</v>
      </c>
      <c r="C82" s="119">
        <v>292</v>
      </c>
      <c r="D82" s="5">
        <f t="shared" ref="D82:D115" si="14">E82+F82</f>
        <v>0</v>
      </c>
      <c r="E82" s="204">
        <v>0</v>
      </c>
      <c r="F82" s="2">
        <v>0</v>
      </c>
    </row>
    <row r="83" spans="1:6" ht="131.25" x14ac:dyDescent="0.25">
      <c r="A83" s="115" t="s">
        <v>33</v>
      </c>
      <c r="B83" s="119">
        <v>853</v>
      </c>
      <c r="C83" s="119">
        <v>293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158</v>
      </c>
      <c r="B84" s="119">
        <v>853</v>
      </c>
      <c r="C84" s="119">
        <v>295</v>
      </c>
      <c r="D84" s="5">
        <f t="shared" si="14"/>
        <v>0</v>
      </c>
      <c r="E84" s="204">
        <v>0</v>
      </c>
      <c r="F84" s="2">
        <v>0</v>
      </c>
    </row>
    <row r="85" spans="1:6" ht="56.25" x14ac:dyDescent="0.25">
      <c r="A85" s="115" t="s">
        <v>34</v>
      </c>
      <c r="B85" s="119" t="s">
        <v>5</v>
      </c>
      <c r="C85" s="119">
        <v>296</v>
      </c>
      <c r="D85" s="5">
        <f>E85+F85</f>
        <v>0</v>
      </c>
      <c r="E85" s="204">
        <f>E86+E87+E88+E89+E91+E90</f>
        <v>0</v>
      </c>
      <c r="F85" s="2">
        <f t="shared" ref="F85" si="15">F86+F87+F88+F89+F91</f>
        <v>0</v>
      </c>
    </row>
    <row r="86" spans="1:6" ht="18.75" x14ac:dyDescent="0.25">
      <c r="A86" s="224" t="s">
        <v>6</v>
      </c>
      <c r="B86" s="119">
        <v>244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24"/>
      <c r="B87" s="119">
        <v>340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24"/>
      <c r="B88" s="119">
        <v>350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24"/>
      <c r="B89" s="119">
        <v>360</v>
      </c>
      <c r="C89" s="119">
        <v>296</v>
      </c>
      <c r="D89" s="5">
        <f t="shared" si="14"/>
        <v>0</v>
      </c>
      <c r="E89" s="204">
        <v>0</v>
      </c>
      <c r="F89" s="2"/>
    </row>
    <row r="90" spans="1:6" ht="18.75" x14ac:dyDescent="0.25">
      <c r="A90" s="224"/>
      <c r="B90" s="208">
        <v>831</v>
      </c>
      <c r="C90" s="208">
        <v>296</v>
      </c>
      <c r="D90" s="5">
        <f t="shared" ref="D90" si="16">E90+F90</f>
        <v>0</v>
      </c>
      <c r="E90" s="204">
        <v>0</v>
      </c>
      <c r="F90" s="2"/>
    </row>
    <row r="91" spans="1:6" ht="18.75" x14ac:dyDescent="0.25">
      <c r="A91" s="224"/>
      <c r="B91" s="119">
        <v>853</v>
      </c>
      <c r="C91" s="119">
        <v>296</v>
      </c>
      <c r="D91" s="5">
        <f t="shared" si="14"/>
        <v>0</v>
      </c>
      <c r="E91" s="204">
        <v>0</v>
      </c>
      <c r="F91" s="2"/>
    </row>
    <row r="92" spans="1:6" ht="56.25" x14ac:dyDescent="0.25">
      <c r="A92" s="115" t="s">
        <v>35</v>
      </c>
      <c r="B92" s="119" t="s">
        <v>5</v>
      </c>
      <c r="C92" s="119">
        <v>297</v>
      </c>
      <c r="D92" s="5">
        <f>E92+F92</f>
        <v>0</v>
      </c>
      <c r="E92" s="204">
        <f>E93+E95+E96+E94</f>
        <v>0</v>
      </c>
      <c r="F92" s="2">
        <f>F93+F95+F96</f>
        <v>0</v>
      </c>
    </row>
    <row r="93" spans="1:6" ht="18.75" x14ac:dyDescent="0.25">
      <c r="A93" s="224" t="s">
        <v>6</v>
      </c>
      <c r="B93" s="119">
        <v>244</v>
      </c>
      <c r="C93" s="119">
        <v>297</v>
      </c>
      <c r="D93" s="5">
        <f t="shared" si="14"/>
        <v>0</v>
      </c>
      <c r="E93" s="204">
        <v>0</v>
      </c>
      <c r="F93" s="2"/>
    </row>
    <row r="94" spans="1:6" ht="18.75" x14ac:dyDescent="0.25">
      <c r="A94" s="224"/>
      <c r="B94" s="210">
        <v>613</v>
      </c>
      <c r="C94" s="210">
        <v>297</v>
      </c>
      <c r="D94" s="5">
        <f t="shared" ref="D94" si="17">E94+F94</f>
        <v>0</v>
      </c>
      <c r="E94" s="204">
        <v>0</v>
      </c>
      <c r="F94" s="2"/>
    </row>
    <row r="95" spans="1:6" ht="18.75" x14ac:dyDescent="0.25">
      <c r="A95" s="224"/>
      <c r="B95" s="191">
        <v>831</v>
      </c>
      <c r="C95" s="191">
        <v>297</v>
      </c>
      <c r="D95" s="5">
        <f t="shared" si="14"/>
        <v>0</v>
      </c>
      <c r="E95" s="204">
        <f>0</f>
        <v>0</v>
      </c>
      <c r="F95" s="2"/>
    </row>
    <row r="96" spans="1:6" ht="18.75" x14ac:dyDescent="0.25">
      <c r="A96" s="224"/>
      <c r="B96" s="119">
        <v>853</v>
      </c>
      <c r="C96" s="119">
        <v>297</v>
      </c>
      <c r="D96" s="5">
        <f t="shared" si="14"/>
        <v>0</v>
      </c>
      <c r="E96" s="204">
        <v>0</v>
      </c>
      <c r="F96" s="2"/>
    </row>
    <row r="97" spans="1:6" ht="56.25" x14ac:dyDescent="0.25">
      <c r="A97" s="115" t="s">
        <v>59</v>
      </c>
      <c r="B97" s="119" t="s">
        <v>5</v>
      </c>
      <c r="C97" s="119">
        <v>300</v>
      </c>
      <c r="D97" s="5">
        <f t="shared" si="14"/>
        <v>2824491.87</v>
      </c>
      <c r="E97" s="204">
        <f>E99+E101+E100</f>
        <v>2824491.87</v>
      </c>
      <c r="F97" s="2">
        <f>F99+F101+F100</f>
        <v>0</v>
      </c>
    </row>
    <row r="98" spans="1:6" ht="18.75" x14ac:dyDescent="0.25">
      <c r="A98" s="115" t="s">
        <v>9</v>
      </c>
      <c r="B98" s="119"/>
      <c r="C98" s="119"/>
      <c r="D98" s="5"/>
      <c r="E98" s="204"/>
      <c r="F98" s="2"/>
    </row>
    <row r="99" spans="1:6" ht="56.25" x14ac:dyDescent="0.25">
      <c r="A99" s="115" t="s">
        <v>36</v>
      </c>
      <c r="B99" s="119">
        <v>244</v>
      </c>
      <c r="C99" s="119">
        <v>310</v>
      </c>
      <c r="D99" s="5">
        <f t="shared" si="14"/>
        <v>2285826.87</v>
      </c>
      <c r="E99" s="204">
        <f>2257401.87+28425</f>
        <v>2285826.87</v>
      </c>
      <c r="F99" s="2"/>
    </row>
    <row r="100" spans="1:6" ht="75" x14ac:dyDescent="0.25">
      <c r="A100" s="115" t="s">
        <v>68</v>
      </c>
      <c r="B100" s="119">
        <v>244</v>
      </c>
      <c r="C100" s="119">
        <v>320</v>
      </c>
      <c r="D100" s="5">
        <f t="shared" si="14"/>
        <v>0</v>
      </c>
      <c r="E100" s="204">
        <v>0</v>
      </c>
      <c r="F100" s="2"/>
    </row>
    <row r="101" spans="1:6" ht="75" x14ac:dyDescent="0.25">
      <c r="A101" s="115" t="s">
        <v>60</v>
      </c>
      <c r="B101" s="119" t="s">
        <v>5</v>
      </c>
      <c r="C101" s="119">
        <v>340</v>
      </c>
      <c r="D101" s="5">
        <f t="shared" si="14"/>
        <v>538665</v>
      </c>
      <c r="E101" s="204">
        <f>E103+E104+E105+E106+E107+E108+E109+E110</f>
        <v>538665</v>
      </c>
      <c r="F101" s="2">
        <f>F103+F104+F105+F106+F107+F108+F110</f>
        <v>0</v>
      </c>
    </row>
    <row r="102" spans="1:6" ht="18.75" x14ac:dyDescent="0.25">
      <c r="A102" s="115" t="s">
        <v>6</v>
      </c>
      <c r="B102" s="119"/>
      <c r="C102" s="119"/>
      <c r="D102" s="5"/>
      <c r="E102" s="204"/>
      <c r="F102" s="2"/>
    </row>
    <row r="103" spans="1:6" ht="131.25" x14ac:dyDescent="0.25">
      <c r="A103" s="115" t="s">
        <v>37</v>
      </c>
      <c r="B103" s="119">
        <v>244</v>
      </c>
      <c r="C103" s="119">
        <v>341</v>
      </c>
      <c r="D103" s="5">
        <f t="shared" si="14"/>
        <v>0</v>
      </c>
      <c r="E103" s="204">
        <v>0</v>
      </c>
      <c r="F103" s="2"/>
    </row>
    <row r="104" spans="1:6" ht="56.25" x14ac:dyDescent="0.25">
      <c r="A104" s="115" t="s">
        <v>38</v>
      </c>
      <c r="B104" s="119">
        <v>244</v>
      </c>
      <c r="C104" s="119">
        <v>342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39</v>
      </c>
      <c r="B105" s="119">
        <v>244</v>
      </c>
      <c r="C105" s="119">
        <v>343</v>
      </c>
      <c r="D105" s="5">
        <f t="shared" si="14"/>
        <v>0</v>
      </c>
      <c r="E105" s="204">
        <v>0</v>
      </c>
      <c r="F105" s="2"/>
    </row>
    <row r="106" spans="1:6" ht="75" x14ac:dyDescent="0.25">
      <c r="A106" s="115" t="s">
        <v>40</v>
      </c>
      <c r="B106" s="119">
        <v>244</v>
      </c>
      <c r="C106" s="119">
        <v>344</v>
      </c>
      <c r="D106" s="5">
        <f t="shared" si="14"/>
        <v>0</v>
      </c>
      <c r="E106" s="204">
        <v>0</v>
      </c>
      <c r="F106" s="2"/>
    </row>
    <row r="107" spans="1:6" ht="56.25" x14ac:dyDescent="0.25">
      <c r="A107" s="115" t="s">
        <v>41</v>
      </c>
      <c r="B107" s="119">
        <v>244</v>
      </c>
      <c r="C107" s="119">
        <v>345</v>
      </c>
      <c r="D107" s="5">
        <f t="shared" si="14"/>
        <v>0</v>
      </c>
      <c r="E107" s="204">
        <v>0</v>
      </c>
      <c r="F107" s="2"/>
    </row>
    <row r="108" spans="1:6" ht="75" x14ac:dyDescent="0.25">
      <c r="A108" s="115" t="s">
        <v>42</v>
      </c>
      <c r="B108" s="119">
        <v>244</v>
      </c>
      <c r="C108" s="119">
        <v>346</v>
      </c>
      <c r="D108" s="5">
        <f>E108+F108</f>
        <v>538665</v>
      </c>
      <c r="E108" s="204">
        <f>350000+188665</f>
        <v>538665</v>
      </c>
      <c r="F108" s="2"/>
    </row>
    <row r="109" spans="1:6" ht="112.5" x14ac:dyDescent="0.25">
      <c r="A109" s="170" t="s">
        <v>341</v>
      </c>
      <c r="B109" s="171">
        <v>244</v>
      </c>
      <c r="C109" s="171">
        <v>347</v>
      </c>
      <c r="D109" s="5">
        <f>E109+F109</f>
        <v>0</v>
      </c>
      <c r="E109" s="204">
        <v>0</v>
      </c>
      <c r="F109" s="2"/>
    </row>
    <row r="110" spans="1:6" ht="112.5" x14ac:dyDescent="0.25">
      <c r="A110" s="115" t="s">
        <v>43</v>
      </c>
      <c r="B110" s="119">
        <v>244</v>
      </c>
      <c r="C110" s="119">
        <v>349</v>
      </c>
      <c r="D110" s="5">
        <f t="shared" si="14"/>
        <v>0</v>
      </c>
      <c r="E110" s="204">
        <f>0</f>
        <v>0</v>
      </c>
      <c r="F110" s="2"/>
    </row>
    <row r="111" spans="1:6" ht="78" customHeight="1" x14ac:dyDescent="0.25">
      <c r="A111" s="115" t="s">
        <v>67</v>
      </c>
      <c r="B111" s="119" t="s">
        <v>5</v>
      </c>
      <c r="C111" s="119" t="s">
        <v>5</v>
      </c>
      <c r="D111" s="5">
        <f t="shared" si="14"/>
        <v>0</v>
      </c>
      <c r="E111" s="204">
        <f t="shared" ref="E111:F111" si="18">E113+E114+E115</f>
        <v>0</v>
      </c>
      <c r="F111" s="2">
        <f t="shared" si="18"/>
        <v>0</v>
      </c>
    </row>
    <row r="112" spans="1:6" ht="78" customHeight="1" x14ac:dyDescent="0.25">
      <c r="A112" s="115" t="s">
        <v>6</v>
      </c>
      <c r="B112" s="119"/>
      <c r="C112" s="119"/>
      <c r="D112" s="5"/>
      <c r="E112" s="204"/>
      <c r="F112" s="2"/>
    </row>
    <row r="113" spans="1:6" ht="78" customHeight="1" x14ac:dyDescent="0.25">
      <c r="A113" s="115" t="s">
        <v>194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6" ht="78" customHeight="1" x14ac:dyDescent="0.25">
      <c r="A114" s="115" t="s">
        <v>195</v>
      </c>
      <c r="B114" s="119">
        <v>180</v>
      </c>
      <c r="C114" s="119" t="s">
        <v>5</v>
      </c>
      <c r="D114" s="5">
        <f t="shared" si="14"/>
        <v>0</v>
      </c>
      <c r="E114" s="204">
        <v>0</v>
      </c>
      <c r="F114" s="2"/>
    </row>
    <row r="115" spans="1:6" ht="78" customHeight="1" thickBot="1" x14ac:dyDescent="0.3">
      <c r="A115" s="32" t="s">
        <v>196</v>
      </c>
      <c r="B115" s="33">
        <v>180</v>
      </c>
      <c r="C115" s="33" t="s">
        <v>5</v>
      </c>
      <c r="D115" s="34">
        <f t="shared" si="14"/>
        <v>0</v>
      </c>
      <c r="E115" s="205">
        <v>0</v>
      </c>
      <c r="F115" s="35"/>
    </row>
    <row r="116" spans="1:6" ht="18.75" x14ac:dyDescent="0.25">
      <c r="A116" s="15"/>
      <c r="B116" s="19"/>
      <c r="C116" s="19"/>
      <c r="D116" s="36"/>
      <c r="E116" s="36"/>
      <c r="F116" s="36"/>
    </row>
    <row r="117" spans="1:6" x14ac:dyDescent="0.25">
      <c r="A117" s="11"/>
    </row>
    <row r="118" spans="1:6" ht="37.5" x14ac:dyDescent="0.3">
      <c r="A118" s="29" t="s">
        <v>52</v>
      </c>
      <c r="B118" s="227"/>
      <c r="C118" s="227"/>
      <c r="D118" s="10"/>
      <c r="E118" s="227" t="s">
        <v>478</v>
      </c>
      <c r="F118" s="227"/>
    </row>
    <row r="119" spans="1:6" ht="18.75" x14ac:dyDescent="0.3">
      <c r="A119" s="29"/>
      <c r="B119" s="226" t="s">
        <v>53</v>
      </c>
      <c r="C119" s="226"/>
      <c r="D119" s="10"/>
      <c r="E119" s="226" t="s">
        <v>54</v>
      </c>
      <c r="F119" s="226"/>
    </row>
    <row r="120" spans="1:6" ht="18.75" x14ac:dyDescent="0.3">
      <c r="A120" s="29"/>
      <c r="B120" s="10"/>
      <c r="C120" s="10"/>
      <c r="D120" s="10"/>
      <c r="E120" s="10"/>
      <c r="F120" s="10"/>
    </row>
    <row r="121" spans="1:6" ht="37.5" x14ac:dyDescent="0.3">
      <c r="A121" s="29" t="s">
        <v>55</v>
      </c>
      <c r="B121" s="227"/>
      <c r="C121" s="227"/>
      <c r="D121" s="10"/>
      <c r="E121" s="227" t="s">
        <v>482</v>
      </c>
      <c r="F121" s="227"/>
    </row>
    <row r="122" spans="1:6" ht="18.75" x14ac:dyDescent="0.3">
      <c r="A122" s="29"/>
      <c r="B122" s="226" t="s">
        <v>53</v>
      </c>
      <c r="C122" s="226"/>
      <c r="D122" s="10"/>
      <c r="E122" s="226" t="s">
        <v>54</v>
      </c>
      <c r="F122" s="226"/>
    </row>
    <row r="123" spans="1:6" ht="18.75" x14ac:dyDescent="0.3">
      <c r="A123" s="29"/>
      <c r="B123" s="116"/>
      <c r="C123" s="116"/>
      <c r="D123" s="10"/>
      <c r="E123" s="116"/>
      <c r="F123" s="116"/>
    </row>
    <row r="124" spans="1:6" ht="18.75" x14ac:dyDescent="0.3">
      <c r="A124" s="29" t="s">
        <v>56</v>
      </c>
      <c r="B124" s="227"/>
      <c r="C124" s="227"/>
      <c r="D124" s="10"/>
      <c r="E124" s="227" t="s">
        <v>482</v>
      </c>
      <c r="F124" s="227"/>
    </row>
    <row r="125" spans="1:6" ht="18.75" x14ac:dyDescent="0.3">
      <c r="A125" s="29"/>
      <c r="B125" s="226" t="s">
        <v>53</v>
      </c>
      <c r="C125" s="226"/>
      <c r="D125" s="10"/>
      <c r="E125" s="226" t="s">
        <v>54</v>
      </c>
      <c r="F125" s="226"/>
    </row>
    <row r="126" spans="1:6" ht="18.75" x14ac:dyDescent="0.3">
      <c r="A126" s="29" t="s">
        <v>57</v>
      </c>
      <c r="B126" s="10"/>
      <c r="C126" s="10"/>
      <c r="D126" s="10"/>
      <c r="E126" s="10"/>
      <c r="F126" s="10"/>
    </row>
    <row r="127" spans="1:6" ht="18.75" x14ac:dyDescent="0.3">
      <c r="A127" s="225" t="s">
        <v>44</v>
      </c>
      <c r="B127" s="225"/>
      <c r="C127" s="10"/>
      <c r="D127" s="10"/>
      <c r="E127" s="10"/>
      <c r="F127" s="10"/>
    </row>
    <row r="128" spans="1:6" ht="18.75" x14ac:dyDescent="0.25">
      <c r="A128" s="228" t="s">
        <v>192</v>
      </c>
      <c r="B128" s="228"/>
      <c r="C128" s="228"/>
      <c r="D128" s="228"/>
      <c r="E128" s="228"/>
      <c r="F128" s="228"/>
    </row>
    <row r="129" spans="1:10" ht="45" x14ac:dyDescent="0.25">
      <c r="A129" s="54" t="s">
        <v>235</v>
      </c>
      <c r="B129" s="58" t="s">
        <v>5</v>
      </c>
      <c r="C129" s="58" t="s">
        <v>5</v>
      </c>
      <c r="D129" s="5">
        <f t="shared" ref="D129:D130" si="19">E129+F129</f>
        <v>0</v>
      </c>
      <c r="E129" s="2"/>
      <c r="F129" s="4"/>
      <c r="H129" s="71" t="s">
        <v>230</v>
      </c>
      <c r="I129" s="71" t="s">
        <v>231</v>
      </c>
      <c r="J129" s="71" t="s">
        <v>232</v>
      </c>
    </row>
    <row r="130" spans="1:10" ht="18.75" x14ac:dyDescent="0.25">
      <c r="A130" s="54" t="s">
        <v>7</v>
      </c>
      <c r="B130" s="58" t="s">
        <v>5</v>
      </c>
      <c r="C130" s="58">
        <v>900</v>
      </c>
      <c r="D130" s="5">
        <f t="shared" si="19"/>
        <v>2846491.87</v>
      </c>
      <c r="E130" s="2">
        <f>E133+E163+E178+E208</f>
        <v>2846491.87</v>
      </c>
      <c r="F130" s="2">
        <f>F133+F163</f>
        <v>0</v>
      </c>
      <c r="H130" s="72">
        <f>E31+E32+E33+E35+E41+E59+E60+E61+E69+E72+E73+E75+E79+E80+E81+E82+E83+E84+E87+E88+E89+E91+E96</f>
        <v>1160660</v>
      </c>
      <c r="I130" s="72">
        <f>H130+D130</f>
        <v>4007151.87</v>
      </c>
      <c r="J130" s="72">
        <f>I130-E25</f>
        <v>0</v>
      </c>
    </row>
    <row r="131" spans="1:10" ht="18.75" x14ac:dyDescent="0.25">
      <c r="A131" s="54" t="s">
        <v>6</v>
      </c>
      <c r="B131" s="58"/>
      <c r="C131" s="58"/>
      <c r="D131" s="5"/>
      <c r="E131" s="2"/>
      <c r="F131" s="4"/>
    </row>
    <row r="132" spans="1:10" ht="18.75" x14ac:dyDescent="0.25">
      <c r="A132" s="229" t="s">
        <v>200</v>
      </c>
      <c r="B132" s="230"/>
      <c r="C132" s="230"/>
      <c r="D132" s="230"/>
      <c r="E132" s="230"/>
      <c r="F132" s="231"/>
    </row>
    <row r="133" spans="1:10" ht="18.75" x14ac:dyDescent="0.25">
      <c r="A133" s="54" t="s">
        <v>8</v>
      </c>
      <c r="B133" s="58" t="s">
        <v>5</v>
      </c>
      <c r="C133" s="58">
        <v>200</v>
      </c>
      <c r="D133" s="5">
        <f t="shared" ref="D133:D166" si="20">E133+F133</f>
        <v>0</v>
      </c>
      <c r="E133" s="2">
        <f>E135+E138+E159</f>
        <v>0</v>
      </c>
      <c r="F133" s="2">
        <f>F135+F138+F159</f>
        <v>0</v>
      </c>
    </row>
    <row r="134" spans="1:10" ht="18.75" x14ac:dyDescent="0.25">
      <c r="A134" s="54" t="s">
        <v>9</v>
      </c>
      <c r="B134" s="58"/>
      <c r="C134" s="58"/>
      <c r="D134" s="5"/>
      <c r="E134" s="2"/>
      <c r="F134" s="2"/>
    </row>
    <row r="135" spans="1:10" ht="75" x14ac:dyDescent="0.25">
      <c r="A135" s="54" t="s">
        <v>10</v>
      </c>
      <c r="B135" s="58" t="s">
        <v>5</v>
      </c>
      <c r="C135" s="58">
        <v>210</v>
      </c>
      <c r="D135" s="5">
        <f t="shared" si="20"/>
        <v>0</v>
      </c>
      <c r="E135" s="2">
        <f>E137</f>
        <v>0</v>
      </c>
      <c r="F135" s="2">
        <f>F137</f>
        <v>0</v>
      </c>
    </row>
    <row r="136" spans="1:10" ht="18.75" x14ac:dyDescent="0.25">
      <c r="A136" s="54" t="s">
        <v>9</v>
      </c>
      <c r="B136" s="58"/>
      <c r="C136" s="58"/>
      <c r="D136" s="5"/>
      <c r="E136" s="2"/>
      <c r="F136" s="2"/>
    </row>
    <row r="137" spans="1:10" ht="93.75" x14ac:dyDescent="0.25">
      <c r="A137" s="54" t="s">
        <v>201</v>
      </c>
      <c r="B137" s="58">
        <v>244</v>
      </c>
      <c r="C137" s="58">
        <v>214</v>
      </c>
      <c r="D137" s="5">
        <f>E137+F137</f>
        <v>0</v>
      </c>
      <c r="E137" s="2"/>
      <c r="F137" s="2"/>
    </row>
    <row r="138" spans="1:10" ht="37.5" x14ac:dyDescent="0.25">
      <c r="A138" s="54" t="s">
        <v>14</v>
      </c>
      <c r="B138" s="58" t="s">
        <v>5</v>
      </c>
      <c r="C138" s="58">
        <v>220</v>
      </c>
      <c r="D138" s="5">
        <f t="shared" si="20"/>
        <v>0</v>
      </c>
      <c r="E138" s="2">
        <f>E140+E141+E142+E150+E151+E154+E157+E158</f>
        <v>0</v>
      </c>
      <c r="F138" s="2">
        <f>F140+F141+F142+F150+F151+F154+F157</f>
        <v>0</v>
      </c>
    </row>
    <row r="139" spans="1:10" ht="18.75" x14ac:dyDescent="0.25">
      <c r="A139" s="54" t="s">
        <v>9</v>
      </c>
      <c r="B139" s="58"/>
      <c r="C139" s="58"/>
      <c r="D139" s="5"/>
      <c r="E139" s="2"/>
      <c r="F139" s="2"/>
    </row>
    <row r="140" spans="1:10" ht="18.75" x14ac:dyDescent="0.25">
      <c r="A140" s="54" t="s">
        <v>15</v>
      </c>
      <c r="B140" s="58">
        <v>244</v>
      </c>
      <c r="C140" s="58">
        <v>221</v>
      </c>
      <c r="D140" s="5">
        <f t="shared" si="20"/>
        <v>0</v>
      </c>
      <c r="E140" s="2"/>
      <c r="F140" s="2"/>
    </row>
    <row r="141" spans="1:10" ht="37.5" x14ac:dyDescent="0.25">
      <c r="A141" s="54" t="s">
        <v>16</v>
      </c>
      <c r="B141" s="58">
        <v>244</v>
      </c>
      <c r="C141" s="58">
        <v>222</v>
      </c>
      <c r="D141" s="5">
        <f t="shared" si="20"/>
        <v>0</v>
      </c>
      <c r="E141" s="2"/>
      <c r="F141" s="2"/>
    </row>
    <row r="142" spans="1:10" ht="37.5" x14ac:dyDescent="0.25">
      <c r="A142" s="54" t="s">
        <v>17</v>
      </c>
      <c r="B142" s="58" t="s">
        <v>5</v>
      </c>
      <c r="C142" s="58">
        <v>223</v>
      </c>
      <c r="D142" s="5">
        <f t="shared" si="20"/>
        <v>0</v>
      </c>
      <c r="E142" s="2">
        <f t="shared" ref="E142:F142" si="21">E144+E145+E146+E147+E148</f>
        <v>0</v>
      </c>
      <c r="F142" s="2">
        <f t="shared" si="21"/>
        <v>0</v>
      </c>
    </row>
    <row r="143" spans="1:10" ht="18.75" x14ac:dyDescent="0.25">
      <c r="A143" s="54" t="s">
        <v>6</v>
      </c>
      <c r="B143" s="58"/>
      <c r="C143" s="58"/>
      <c r="D143" s="5"/>
      <c r="E143" s="2"/>
      <c r="F143" s="2"/>
    </row>
    <row r="144" spans="1:10" ht="56.25" x14ac:dyDescent="0.25">
      <c r="A144" s="54" t="s">
        <v>18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37.5" x14ac:dyDescent="0.25">
      <c r="A145" s="54" t="s">
        <v>19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20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75" x14ac:dyDescent="0.25">
      <c r="A147" s="54" t="s">
        <v>21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54" t="s">
        <v>22</v>
      </c>
      <c r="B148" s="58">
        <v>244</v>
      </c>
      <c r="C148" s="58">
        <v>223</v>
      </c>
      <c r="D148" s="5">
        <f t="shared" si="20"/>
        <v>0</v>
      </c>
      <c r="E148" s="2"/>
      <c r="F148" s="2"/>
    </row>
    <row r="149" spans="1:6" ht="56.25" x14ac:dyDescent="0.25">
      <c r="A149" s="194" t="s">
        <v>436</v>
      </c>
      <c r="B149" s="195">
        <v>244</v>
      </c>
      <c r="C149" s="195">
        <v>223</v>
      </c>
      <c r="D149" s="5">
        <f t="shared" ref="D149" si="22">E149+F149</f>
        <v>0</v>
      </c>
      <c r="E149" s="2"/>
      <c r="F149" s="2"/>
    </row>
    <row r="150" spans="1:6" ht="168.75" x14ac:dyDescent="0.25">
      <c r="A150" s="54" t="s">
        <v>23</v>
      </c>
      <c r="B150" s="58">
        <v>244</v>
      </c>
      <c r="C150" s="58">
        <v>224</v>
      </c>
      <c r="D150" s="5">
        <f t="shared" si="20"/>
        <v>0</v>
      </c>
      <c r="E150" s="2"/>
      <c r="F150" s="2"/>
    </row>
    <row r="151" spans="1:6" ht="56.25" x14ac:dyDescent="0.25">
      <c r="A151" s="54" t="s">
        <v>24</v>
      </c>
      <c r="B151" s="58" t="s">
        <v>5</v>
      </c>
      <c r="C151" s="58">
        <v>225</v>
      </c>
      <c r="D151" s="2">
        <f t="shared" ref="D151:F151" si="23">D152+D153</f>
        <v>0</v>
      </c>
      <c r="E151" s="2">
        <f>E152+E153</f>
        <v>0</v>
      </c>
      <c r="F151" s="2">
        <f t="shared" si="23"/>
        <v>0</v>
      </c>
    </row>
    <row r="152" spans="1:6" ht="18.75" x14ac:dyDescent="0.25">
      <c r="A152" s="224" t="s">
        <v>6</v>
      </c>
      <c r="B152" s="58">
        <v>243</v>
      </c>
      <c r="C152" s="58">
        <v>225</v>
      </c>
      <c r="D152" s="5">
        <f t="shared" si="20"/>
        <v>0</v>
      </c>
      <c r="E152" s="2"/>
      <c r="F152" s="2"/>
    </row>
    <row r="153" spans="1:6" ht="18.75" x14ac:dyDescent="0.25">
      <c r="A153" s="224"/>
      <c r="B153" s="58">
        <v>244</v>
      </c>
      <c r="C153" s="58">
        <v>225</v>
      </c>
      <c r="D153" s="5">
        <f t="shared" si="20"/>
        <v>0</v>
      </c>
      <c r="E153" s="2"/>
      <c r="F153" s="2"/>
    </row>
    <row r="154" spans="1:6" ht="37.5" x14ac:dyDescent="0.25">
      <c r="A154" s="54" t="s">
        <v>58</v>
      </c>
      <c r="B154" s="58" t="s">
        <v>5</v>
      </c>
      <c r="C154" s="58">
        <v>226</v>
      </c>
      <c r="D154" s="5">
        <f t="shared" si="20"/>
        <v>0</v>
      </c>
      <c r="E154" s="2">
        <f>E155+E156</f>
        <v>0</v>
      </c>
      <c r="F154" s="2">
        <f>F155+F156</f>
        <v>0</v>
      </c>
    </row>
    <row r="155" spans="1:6" ht="18.75" x14ac:dyDescent="0.25">
      <c r="A155" s="224" t="s">
        <v>6</v>
      </c>
      <c r="B155" s="58">
        <v>243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224"/>
      <c r="B156" s="58">
        <v>244</v>
      </c>
      <c r="C156" s="58">
        <v>226</v>
      </c>
      <c r="D156" s="5">
        <f t="shared" si="20"/>
        <v>0</v>
      </c>
      <c r="E156" s="2"/>
      <c r="F156" s="2"/>
    </row>
    <row r="157" spans="1:6" ht="18.75" x14ac:dyDescent="0.25">
      <c r="A157" s="54" t="s">
        <v>25</v>
      </c>
      <c r="B157" s="58">
        <v>244</v>
      </c>
      <c r="C157" s="58">
        <v>227</v>
      </c>
      <c r="D157" s="5">
        <f>E157+F157</f>
        <v>0</v>
      </c>
      <c r="E157" s="2"/>
      <c r="F157" s="2"/>
    </row>
    <row r="158" spans="1:6" ht="56.25" x14ac:dyDescent="0.25">
      <c r="A158" s="170" t="s">
        <v>340</v>
      </c>
      <c r="B158" s="171">
        <v>244</v>
      </c>
      <c r="C158" s="171">
        <v>228</v>
      </c>
      <c r="D158" s="5">
        <f>E158+F158</f>
        <v>0</v>
      </c>
      <c r="E158" s="2"/>
      <c r="F158" s="2"/>
    </row>
    <row r="159" spans="1:6" ht="18.75" x14ac:dyDescent="0.25">
      <c r="A159" s="54" t="s">
        <v>30</v>
      </c>
      <c r="B159" s="58" t="s">
        <v>5</v>
      </c>
      <c r="C159" s="58">
        <v>290</v>
      </c>
      <c r="D159" s="5">
        <f t="shared" si="20"/>
        <v>0</v>
      </c>
      <c r="E159" s="2">
        <f>E161+E162</f>
        <v>0</v>
      </c>
      <c r="F159" s="2">
        <f>F161+F162</f>
        <v>0</v>
      </c>
    </row>
    <row r="160" spans="1:6" ht="18.75" x14ac:dyDescent="0.25">
      <c r="A160" s="54" t="s">
        <v>9</v>
      </c>
      <c r="B160" s="58"/>
      <c r="C160" s="58"/>
      <c r="D160" s="5">
        <f t="shared" si="20"/>
        <v>0</v>
      </c>
      <c r="E160" s="2"/>
      <c r="F160" s="2"/>
    </row>
    <row r="161" spans="1:6" ht="56.25" x14ac:dyDescent="0.25">
      <c r="A161" s="54" t="s">
        <v>34</v>
      </c>
      <c r="B161" s="58">
        <v>244</v>
      </c>
      <c r="C161" s="58">
        <v>296</v>
      </c>
      <c r="D161" s="5">
        <f t="shared" si="20"/>
        <v>0</v>
      </c>
      <c r="E161" s="2"/>
      <c r="F161" s="2"/>
    </row>
    <row r="162" spans="1:6" ht="56.25" x14ac:dyDescent="0.25">
      <c r="A162" s="54" t="s">
        <v>35</v>
      </c>
      <c r="B162" s="58">
        <v>244</v>
      </c>
      <c r="C162" s="58">
        <v>297</v>
      </c>
      <c r="D162" s="5">
        <f t="shared" si="20"/>
        <v>0</v>
      </c>
      <c r="E162" s="2"/>
      <c r="F162" s="2"/>
    </row>
    <row r="163" spans="1:6" ht="56.25" x14ac:dyDescent="0.25">
      <c r="A163" s="54" t="s">
        <v>59</v>
      </c>
      <c r="B163" s="58" t="s">
        <v>5</v>
      </c>
      <c r="C163" s="58">
        <v>300</v>
      </c>
      <c r="D163" s="5">
        <f t="shared" si="20"/>
        <v>0</v>
      </c>
      <c r="E163" s="2">
        <f>E165+E167+E166</f>
        <v>0</v>
      </c>
      <c r="F163" s="2">
        <f>F165+F167+F166</f>
        <v>0</v>
      </c>
    </row>
    <row r="164" spans="1:6" ht="18.75" x14ac:dyDescent="0.25">
      <c r="A164" s="54" t="s">
        <v>9</v>
      </c>
      <c r="B164" s="58"/>
      <c r="C164" s="58"/>
      <c r="D164" s="5"/>
      <c r="E164" s="2"/>
      <c r="F164" s="2"/>
    </row>
    <row r="165" spans="1:6" ht="56.25" x14ac:dyDescent="0.25">
      <c r="A165" s="54" t="s">
        <v>36</v>
      </c>
      <c r="B165" s="58">
        <v>244</v>
      </c>
      <c r="C165" s="58">
        <v>310</v>
      </c>
      <c r="D165" s="5">
        <f t="shared" si="20"/>
        <v>0</v>
      </c>
      <c r="E165" s="2"/>
      <c r="F165" s="2"/>
    </row>
    <row r="166" spans="1:6" ht="75" x14ac:dyDescent="0.25">
      <c r="A166" s="54" t="s">
        <v>68</v>
      </c>
      <c r="B166" s="58">
        <v>244</v>
      </c>
      <c r="C166" s="58">
        <v>320</v>
      </c>
      <c r="D166" s="5">
        <f t="shared" si="20"/>
        <v>0</v>
      </c>
      <c r="E166" s="2"/>
      <c r="F166" s="2"/>
    </row>
    <row r="167" spans="1:6" ht="75" x14ac:dyDescent="0.25">
      <c r="A167" s="54" t="s">
        <v>60</v>
      </c>
      <c r="B167" s="58" t="s">
        <v>5</v>
      </c>
      <c r="C167" s="58">
        <v>340</v>
      </c>
      <c r="D167" s="5">
        <f>E167+F167</f>
        <v>0</v>
      </c>
      <c r="E167" s="2">
        <f>E169+E170+E171+E172+E173+E174+E175+E176</f>
        <v>0</v>
      </c>
      <c r="F167" s="2">
        <f>F169+F170+F171+F172+F173+F174+F176</f>
        <v>0</v>
      </c>
    </row>
    <row r="168" spans="1:6" ht="18.75" x14ac:dyDescent="0.25">
      <c r="A168" s="54" t="s">
        <v>6</v>
      </c>
      <c r="B168" s="58"/>
      <c r="C168" s="58"/>
      <c r="D168" s="5"/>
      <c r="E168" s="2"/>
      <c r="F168" s="2"/>
    </row>
    <row r="169" spans="1:6" ht="131.25" x14ac:dyDescent="0.25">
      <c r="A169" s="54" t="s">
        <v>37</v>
      </c>
      <c r="B169" s="58">
        <v>244</v>
      </c>
      <c r="C169" s="58">
        <v>341</v>
      </c>
      <c r="D169" s="5">
        <f t="shared" ref="D169:D176" si="24">E169+F169</f>
        <v>0</v>
      </c>
      <c r="E169" s="2"/>
      <c r="F169" s="2"/>
    </row>
    <row r="170" spans="1:6" ht="56.25" x14ac:dyDescent="0.25">
      <c r="A170" s="54" t="s">
        <v>38</v>
      </c>
      <c r="B170" s="58">
        <v>244</v>
      </c>
      <c r="C170" s="58">
        <v>342</v>
      </c>
      <c r="D170" s="5">
        <f t="shared" si="24"/>
        <v>0</v>
      </c>
      <c r="E170" s="2"/>
      <c r="F170" s="2"/>
    </row>
    <row r="171" spans="1:6" ht="75" x14ac:dyDescent="0.25">
      <c r="A171" s="54" t="s">
        <v>39</v>
      </c>
      <c r="B171" s="58">
        <v>244</v>
      </c>
      <c r="C171" s="58">
        <v>343</v>
      </c>
      <c r="D171" s="5">
        <f t="shared" si="24"/>
        <v>0</v>
      </c>
      <c r="E171" s="2"/>
      <c r="F171" s="2"/>
    </row>
    <row r="172" spans="1:6" ht="75" x14ac:dyDescent="0.25">
      <c r="A172" s="54" t="s">
        <v>40</v>
      </c>
      <c r="B172" s="58">
        <v>244</v>
      </c>
      <c r="C172" s="58">
        <v>344</v>
      </c>
      <c r="D172" s="5">
        <f t="shared" si="24"/>
        <v>0</v>
      </c>
      <c r="E172" s="2"/>
      <c r="F172" s="2"/>
    </row>
    <row r="173" spans="1:6" ht="56.25" x14ac:dyDescent="0.25">
      <c r="A173" s="54" t="s">
        <v>41</v>
      </c>
      <c r="B173" s="58">
        <v>244</v>
      </c>
      <c r="C173" s="58">
        <v>345</v>
      </c>
      <c r="D173" s="5">
        <f t="shared" si="24"/>
        <v>0</v>
      </c>
      <c r="E173" s="2"/>
      <c r="F173" s="2"/>
    </row>
    <row r="174" spans="1:6" ht="75" x14ac:dyDescent="0.25">
      <c r="A174" s="54" t="s">
        <v>42</v>
      </c>
      <c r="B174" s="58">
        <v>244</v>
      </c>
      <c r="C174" s="58">
        <v>346</v>
      </c>
      <c r="D174" s="5">
        <f t="shared" si="24"/>
        <v>0</v>
      </c>
      <c r="E174" s="2"/>
      <c r="F174" s="2"/>
    </row>
    <row r="175" spans="1:6" ht="112.5" x14ac:dyDescent="0.25">
      <c r="A175" s="170" t="s">
        <v>341</v>
      </c>
      <c r="B175" s="171">
        <v>244</v>
      </c>
      <c r="C175" s="171">
        <v>347</v>
      </c>
      <c r="D175" s="5">
        <f t="shared" si="24"/>
        <v>0</v>
      </c>
      <c r="E175" s="2"/>
      <c r="F175" s="2"/>
    </row>
    <row r="176" spans="1:6" ht="112.5" x14ac:dyDescent="0.25">
      <c r="A176" s="54" t="s">
        <v>43</v>
      </c>
      <c r="B176" s="58">
        <v>244</v>
      </c>
      <c r="C176" s="58">
        <v>349</v>
      </c>
      <c r="D176" s="5">
        <f t="shared" si="24"/>
        <v>0</v>
      </c>
      <c r="E176" s="2"/>
      <c r="F176" s="2"/>
    </row>
    <row r="177" spans="1:6" ht="18.75" x14ac:dyDescent="0.25">
      <c r="A177" s="229" t="s">
        <v>202</v>
      </c>
      <c r="B177" s="230"/>
      <c r="C177" s="230"/>
      <c r="D177" s="230"/>
      <c r="E177" s="230"/>
      <c r="F177" s="231"/>
    </row>
    <row r="178" spans="1:6" ht="18.75" x14ac:dyDescent="0.25">
      <c r="A178" s="54" t="s">
        <v>8</v>
      </c>
      <c r="B178" s="58" t="s">
        <v>5</v>
      </c>
      <c r="C178" s="58">
        <v>200</v>
      </c>
      <c r="D178" s="5">
        <f t="shared" ref="D178" si="25">E178+F178</f>
        <v>22000</v>
      </c>
      <c r="E178" s="2">
        <f>E180+E183+E204</f>
        <v>22000</v>
      </c>
      <c r="F178" s="2">
        <f>F180+F183+F204</f>
        <v>0</v>
      </c>
    </row>
    <row r="179" spans="1:6" ht="18.75" x14ac:dyDescent="0.25">
      <c r="A179" s="54" t="s">
        <v>9</v>
      </c>
      <c r="B179" s="58"/>
      <c r="C179" s="58"/>
      <c r="D179" s="5"/>
      <c r="E179" s="2"/>
      <c r="F179" s="2"/>
    </row>
    <row r="180" spans="1:6" ht="75" x14ac:dyDescent="0.25">
      <c r="A180" s="54" t="s">
        <v>10</v>
      </c>
      <c r="B180" s="58" t="s">
        <v>5</v>
      </c>
      <c r="C180" s="58">
        <v>210</v>
      </c>
      <c r="D180" s="5">
        <f t="shared" ref="D180" si="26">E180+F180</f>
        <v>0</v>
      </c>
      <c r="E180" s="2">
        <f>E182</f>
        <v>0</v>
      </c>
      <c r="F180" s="2">
        <f>F182</f>
        <v>0</v>
      </c>
    </row>
    <row r="181" spans="1:6" ht="18.75" x14ac:dyDescent="0.25">
      <c r="A181" s="54" t="s">
        <v>9</v>
      </c>
      <c r="B181" s="58"/>
      <c r="C181" s="58"/>
      <c r="D181" s="5"/>
      <c r="E181" s="2"/>
      <c r="F181" s="2"/>
    </row>
    <row r="182" spans="1:6" ht="93.75" x14ac:dyDescent="0.25">
      <c r="A182" s="54" t="s">
        <v>201</v>
      </c>
      <c r="B182" s="58">
        <v>244</v>
      </c>
      <c r="C182" s="58">
        <v>214</v>
      </c>
      <c r="D182" s="5">
        <f>E182+F182</f>
        <v>0</v>
      </c>
      <c r="E182" s="70">
        <f>E36-E137</f>
        <v>0</v>
      </c>
      <c r="F182" s="2"/>
    </row>
    <row r="183" spans="1:6" ht="37.5" x14ac:dyDescent="0.25">
      <c r="A183" s="54" t="s">
        <v>14</v>
      </c>
      <c r="B183" s="58" t="s">
        <v>5</v>
      </c>
      <c r="C183" s="58">
        <v>220</v>
      </c>
      <c r="D183" s="5">
        <f t="shared" ref="D183" si="27">E183+F183</f>
        <v>22000</v>
      </c>
      <c r="E183" s="2">
        <f>E185+E186+E187+E195+E196+E199+E202</f>
        <v>22000</v>
      </c>
      <c r="F183" s="2">
        <f>F185+F186+F187+F195+F196+F199+F202</f>
        <v>0</v>
      </c>
    </row>
    <row r="184" spans="1:6" ht="18.75" x14ac:dyDescent="0.25">
      <c r="A184" s="54" t="s">
        <v>9</v>
      </c>
      <c r="B184" s="58"/>
      <c r="C184" s="58"/>
      <c r="D184" s="5"/>
      <c r="E184" s="2"/>
      <c r="F184" s="2"/>
    </row>
    <row r="185" spans="1:6" ht="18.75" x14ac:dyDescent="0.25">
      <c r="A185" s="54" t="s">
        <v>15</v>
      </c>
      <c r="B185" s="58">
        <v>244</v>
      </c>
      <c r="C185" s="58">
        <v>221</v>
      </c>
      <c r="D185" s="5">
        <f t="shared" ref="D185:D187" si="28">E185+F185</f>
        <v>0</v>
      </c>
      <c r="E185" s="2">
        <f>E39-E140</f>
        <v>0</v>
      </c>
      <c r="F185" s="2"/>
    </row>
    <row r="186" spans="1:6" ht="37.5" x14ac:dyDescent="0.25">
      <c r="A186" s="54" t="s">
        <v>16</v>
      </c>
      <c r="B186" s="58">
        <v>244</v>
      </c>
      <c r="C186" s="58">
        <v>222</v>
      </c>
      <c r="D186" s="5">
        <f t="shared" si="28"/>
        <v>0</v>
      </c>
      <c r="E186" s="70">
        <f>E42-E141</f>
        <v>0</v>
      </c>
      <c r="F186" s="2"/>
    </row>
    <row r="187" spans="1:6" ht="37.5" x14ac:dyDescent="0.25">
      <c r="A187" s="54" t="s">
        <v>17</v>
      </c>
      <c r="B187" s="58" t="s">
        <v>5</v>
      </c>
      <c r="C187" s="58">
        <v>223</v>
      </c>
      <c r="D187" s="5">
        <f t="shared" si="28"/>
        <v>0</v>
      </c>
      <c r="E187" s="2">
        <f t="shared" ref="E187:F187" si="29">E189+E190+E191+E192+E193</f>
        <v>0</v>
      </c>
      <c r="F187" s="2">
        <f t="shared" si="29"/>
        <v>0</v>
      </c>
    </row>
    <row r="188" spans="1:6" ht="18.75" x14ac:dyDescent="0.25">
      <c r="A188" s="54" t="s">
        <v>6</v>
      </c>
      <c r="B188" s="58"/>
      <c r="C188" s="58"/>
      <c r="D188" s="5"/>
      <c r="E188" s="2"/>
      <c r="F188" s="2"/>
    </row>
    <row r="189" spans="1:6" ht="56.25" x14ac:dyDescent="0.25">
      <c r="A189" s="54" t="s">
        <v>18</v>
      </c>
      <c r="B189" s="58">
        <v>244</v>
      </c>
      <c r="C189" s="58">
        <v>223</v>
      </c>
      <c r="D189" s="5">
        <f t="shared" ref="D189:D195" si="30">E189+F189</f>
        <v>0</v>
      </c>
      <c r="E189" s="2">
        <f>E46-E144</f>
        <v>0</v>
      </c>
      <c r="F189" s="2"/>
    </row>
    <row r="190" spans="1:6" ht="37.5" x14ac:dyDescent="0.25">
      <c r="A190" s="54" t="s">
        <v>19</v>
      </c>
      <c r="B190" s="58">
        <v>244</v>
      </c>
      <c r="C190" s="58">
        <v>223</v>
      </c>
      <c r="D190" s="5">
        <f t="shared" si="30"/>
        <v>0</v>
      </c>
      <c r="E190" s="2">
        <f>E48-E145</f>
        <v>0</v>
      </c>
      <c r="F190" s="2"/>
    </row>
    <row r="191" spans="1:6" ht="75" x14ac:dyDescent="0.25">
      <c r="A191" s="54" t="s">
        <v>20</v>
      </c>
      <c r="B191" s="58">
        <v>244</v>
      </c>
      <c r="C191" s="58">
        <v>223</v>
      </c>
      <c r="D191" s="5">
        <f t="shared" si="30"/>
        <v>0</v>
      </c>
      <c r="E191" s="2">
        <f>E50-E146</f>
        <v>0</v>
      </c>
      <c r="F191" s="2"/>
    </row>
    <row r="192" spans="1:6" ht="75" x14ac:dyDescent="0.25">
      <c r="A192" s="54" t="s">
        <v>21</v>
      </c>
      <c r="B192" s="58">
        <v>244</v>
      </c>
      <c r="C192" s="58">
        <v>223</v>
      </c>
      <c r="D192" s="5">
        <f t="shared" si="30"/>
        <v>0</v>
      </c>
      <c r="E192" s="2">
        <f>E51-E147</f>
        <v>0</v>
      </c>
      <c r="F192" s="2"/>
    </row>
    <row r="193" spans="1:6" ht="56.25" x14ac:dyDescent="0.25">
      <c r="A193" s="54" t="s">
        <v>22</v>
      </c>
      <c r="B193" s="58">
        <v>244</v>
      </c>
      <c r="C193" s="58">
        <v>223</v>
      </c>
      <c r="D193" s="5">
        <f t="shared" si="30"/>
        <v>0</v>
      </c>
      <c r="E193" s="2">
        <f>E52-E148</f>
        <v>0</v>
      </c>
      <c r="F193" s="2"/>
    </row>
    <row r="194" spans="1:6" ht="56.25" x14ac:dyDescent="0.25">
      <c r="A194" s="194" t="s">
        <v>436</v>
      </c>
      <c r="B194" s="195">
        <v>244</v>
      </c>
      <c r="C194" s="195">
        <v>223</v>
      </c>
      <c r="D194" s="5">
        <f t="shared" ref="D194" si="31">E194+F194</f>
        <v>0</v>
      </c>
      <c r="E194" s="2">
        <f>E53-E149</f>
        <v>0</v>
      </c>
      <c r="F194" s="2"/>
    </row>
    <row r="195" spans="1:6" ht="168.75" x14ac:dyDescent="0.25">
      <c r="A195" s="54" t="s">
        <v>23</v>
      </c>
      <c r="B195" s="58">
        <v>244</v>
      </c>
      <c r="C195" s="58">
        <v>224</v>
      </c>
      <c r="D195" s="5">
        <f t="shared" si="30"/>
        <v>0</v>
      </c>
      <c r="E195" s="2">
        <f>E54-E150</f>
        <v>0</v>
      </c>
      <c r="F195" s="2"/>
    </row>
    <row r="196" spans="1:6" ht="56.25" x14ac:dyDescent="0.25">
      <c r="A196" s="54" t="s">
        <v>24</v>
      </c>
      <c r="B196" s="58" t="s">
        <v>5</v>
      </c>
      <c r="C196" s="58">
        <v>225</v>
      </c>
      <c r="D196" s="2">
        <f t="shared" ref="D196" si="32">D197+D198</f>
        <v>12000</v>
      </c>
      <c r="E196" s="2">
        <f>E197+E198</f>
        <v>12000</v>
      </c>
      <c r="F196" s="2">
        <f t="shared" ref="F196" si="33">F197+F198</f>
        <v>0</v>
      </c>
    </row>
    <row r="197" spans="1:6" ht="18.75" x14ac:dyDescent="0.25">
      <c r="A197" s="224" t="s">
        <v>6</v>
      </c>
      <c r="B197" s="58">
        <v>243</v>
      </c>
      <c r="C197" s="58">
        <v>225</v>
      </c>
      <c r="D197" s="5">
        <f t="shared" ref="D197:D208" si="34">E197+F197</f>
        <v>0</v>
      </c>
      <c r="E197" s="2">
        <f>E56-E152</f>
        <v>0</v>
      </c>
      <c r="F197" s="2"/>
    </row>
    <row r="198" spans="1:6" ht="18.75" x14ac:dyDescent="0.25">
      <c r="A198" s="224"/>
      <c r="B198" s="58">
        <v>244</v>
      </c>
      <c r="C198" s="58">
        <v>225</v>
      </c>
      <c r="D198" s="5">
        <f t="shared" si="34"/>
        <v>12000</v>
      </c>
      <c r="E198" s="2">
        <f>E57-E153</f>
        <v>12000</v>
      </c>
      <c r="F198" s="2"/>
    </row>
    <row r="199" spans="1:6" ht="37.5" x14ac:dyDescent="0.25">
      <c r="A199" s="54" t="s">
        <v>58</v>
      </c>
      <c r="B199" s="58" t="s">
        <v>5</v>
      </c>
      <c r="C199" s="58">
        <v>226</v>
      </c>
      <c r="D199" s="5">
        <f t="shared" si="34"/>
        <v>10000</v>
      </c>
      <c r="E199" s="2">
        <f>E200+E201</f>
        <v>10000</v>
      </c>
      <c r="F199" s="2">
        <f>F200+F201</f>
        <v>0</v>
      </c>
    </row>
    <row r="200" spans="1:6" ht="18.75" x14ac:dyDescent="0.25">
      <c r="A200" s="224" t="s">
        <v>6</v>
      </c>
      <c r="B200" s="58">
        <v>243</v>
      </c>
      <c r="C200" s="58">
        <v>226</v>
      </c>
      <c r="D200" s="5">
        <f t="shared" si="34"/>
        <v>0</v>
      </c>
      <c r="E200" s="2">
        <f>E62-E155</f>
        <v>0</v>
      </c>
      <c r="F200" s="2"/>
    </row>
    <row r="201" spans="1:6" ht="18.75" x14ac:dyDescent="0.25">
      <c r="A201" s="224"/>
      <c r="B201" s="58">
        <v>244</v>
      </c>
      <c r="C201" s="58">
        <v>226</v>
      </c>
      <c r="D201" s="5">
        <f t="shared" si="34"/>
        <v>10000</v>
      </c>
      <c r="E201" s="2">
        <f>E63-E156</f>
        <v>10000</v>
      </c>
      <c r="F201" s="2"/>
    </row>
    <row r="202" spans="1:6" ht="18.75" x14ac:dyDescent="0.25">
      <c r="A202" s="54" t="s">
        <v>25</v>
      </c>
      <c r="B202" s="58">
        <v>244</v>
      </c>
      <c r="C202" s="58">
        <v>227</v>
      </c>
      <c r="D202" s="5">
        <f t="shared" si="34"/>
        <v>0</v>
      </c>
      <c r="E202" s="2">
        <f>E65-E157</f>
        <v>0</v>
      </c>
      <c r="F202" s="2"/>
    </row>
    <row r="203" spans="1:6" ht="56.25" x14ac:dyDescent="0.25">
      <c r="A203" s="170" t="s">
        <v>340</v>
      </c>
      <c r="B203" s="171">
        <v>244</v>
      </c>
      <c r="C203" s="171">
        <v>228</v>
      </c>
      <c r="D203" s="5">
        <f>E203+F203</f>
        <v>0</v>
      </c>
      <c r="E203" s="2">
        <f>E66-E158</f>
        <v>0</v>
      </c>
      <c r="F203" s="2"/>
    </row>
    <row r="204" spans="1:6" ht="18.75" x14ac:dyDescent="0.25">
      <c r="A204" s="54" t="s">
        <v>30</v>
      </c>
      <c r="B204" s="58" t="s">
        <v>5</v>
      </c>
      <c r="C204" s="58">
        <v>290</v>
      </c>
      <c r="D204" s="5">
        <f t="shared" si="34"/>
        <v>0</v>
      </c>
      <c r="E204" s="2">
        <f>E206+E207</f>
        <v>0</v>
      </c>
      <c r="F204" s="2">
        <f>F206+F207</f>
        <v>0</v>
      </c>
    </row>
    <row r="205" spans="1:6" ht="18.75" x14ac:dyDescent="0.25">
      <c r="A205" s="54" t="s">
        <v>9</v>
      </c>
      <c r="B205" s="58"/>
      <c r="C205" s="58"/>
      <c r="D205" s="5">
        <f t="shared" si="34"/>
        <v>0</v>
      </c>
      <c r="E205" s="2"/>
      <c r="F205" s="2"/>
    </row>
    <row r="206" spans="1:6" ht="56.25" x14ac:dyDescent="0.25">
      <c r="A206" s="54" t="s">
        <v>34</v>
      </c>
      <c r="B206" s="58">
        <v>244</v>
      </c>
      <c r="C206" s="58">
        <v>296</v>
      </c>
      <c r="D206" s="5">
        <f t="shared" si="34"/>
        <v>0</v>
      </c>
      <c r="E206" s="2">
        <f>E86-E161</f>
        <v>0</v>
      </c>
      <c r="F206" s="2"/>
    </row>
    <row r="207" spans="1:6" ht="56.25" x14ac:dyDescent="0.25">
      <c r="A207" s="54" t="s">
        <v>35</v>
      </c>
      <c r="B207" s="58">
        <v>244</v>
      </c>
      <c r="C207" s="58">
        <v>297</v>
      </c>
      <c r="D207" s="5">
        <f t="shared" si="34"/>
        <v>0</v>
      </c>
      <c r="E207" s="2">
        <f>E93-E162</f>
        <v>0</v>
      </c>
      <c r="F207" s="2"/>
    </row>
    <row r="208" spans="1:6" ht="56.25" x14ac:dyDescent="0.25">
      <c r="A208" s="54" t="s">
        <v>59</v>
      </c>
      <c r="B208" s="58" t="s">
        <v>5</v>
      </c>
      <c r="C208" s="58">
        <v>300</v>
      </c>
      <c r="D208" s="5">
        <f t="shared" si="34"/>
        <v>2824491.87</v>
      </c>
      <c r="E208" s="2">
        <f>E210+E212+E211</f>
        <v>2824491.87</v>
      </c>
      <c r="F208" s="2">
        <f>F210+F212+F211</f>
        <v>0</v>
      </c>
    </row>
    <row r="209" spans="1:6" ht="18.75" x14ac:dyDescent="0.25">
      <c r="A209" s="54" t="s">
        <v>9</v>
      </c>
      <c r="B209" s="58"/>
      <c r="C209" s="58"/>
      <c r="D209" s="5"/>
      <c r="E209" s="2"/>
      <c r="F209" s="2"/>
    </row>
    <row r="210" spans="1:6" ht="56.25" x14ac:dyDescent="0.25">
      <c r="A210" s="54" t="s">
        <v>36</v>
      </c>
      <c r="B210" s="58">
        <v>244</v>
      </c>
      <c r="C210" s="58">
        <v>310</v>
      </c>
      <c r="D210" s="5">
        <f t="shared" ref="D210:D212" si="35">E210+F210</f>
        <v>2285826.87</v>
      </c>
      <c r="E210" s="2">
        <f>E99-E165</f>
        <v>2285826.87</v>
      </c>
      <c r="F210" s="2"/>
    </row>
    <row r="211" spans="1:6" ht="75" x14ac:dyDescent="0.25">
      <c r="A211" s="54" t="s">
        <v>68</v>
      </c>
      <c r="B211" s="58">
        <v>244</v>
      </c>
      <c r="C211" s="58">
        <v>320</v>
      </c>
      <c r="D211" s="5">
        <f t="shared" si="35"/>
        <v>0</v>
      </c>
      <c r="E211" s="2">
        <f>E100-E166</f>
        <v>0</v>
      </c>
      <c r="F211" s="2"/>
    </row>
    <row r="212" spans="1:6" ht="75" x14ac:dyDescent="0.25">
      <c r="A212" s="54" t="s">
        <v>60</v>
      </c>
      <c r="B212" s="58" t="s">
        <v>5</v>
      </c>
      <c r="C212" s="58">
        <v>340</v>
      </c>
      <c r="D212" s="5">
        <f t="shared" si="35"/>
        <v>538665</v>
      </c>
      <c r="E212" s="2">
        <f>E214+E215+E216+E217+E218+E219+E221</f>
        <v>538665</v>
      </c>
      <c r="F212" s="2">
        <f>F214+F215+F216+F217+F218+F219+F221</f>
        <v>0</v>
      </c>
    </row>
    <row r="213" spans="1:6" ht="18.75" x14ac:dyDescent="0.25">
      <c r="A213" s="54" t="s">
        <v>6</v>
      </c>
      <c r="B213" s="58"/>
      <c r="C213" s="58"/>
      <c r="D213" s="5"/>
      <c r="E213" s="2"/>
      <c r="F213" s="2"/>
    </row>
    <row r="214" spans="1:6" ht="131.25" x14ac:dyDescent="0.25">
      <c r="A214" s="54" t="s">
        <v>37</v>
      </c>
      <c r="B214" s="58">
        <v>244</v>
      </c>
      <c r="C214" s="58">
        <v>341</v>
      </c>
      <c r="D214" s="5">
        <f t="shared" ref="D214:D221" si="36">E214+F214</f>
        <v>0</v>
      </c>
      <c r="E214" s="2">
        <f t="shared" ref="E214:E220" si="37">E103-E169</f>
        <v>0</v>
      </c>
      <c r="F214" s="2"/>
    </row>
    <row r="215" spans="1:6" ht="56.25" x14ac:dyDescent="0.25">
      <c r="A215" s="54" t="s">
        <v>38</v>
      </c>
      <c r="B215" s="58">
        <v>244</v>
      </c>
      <c r="C215" s="58">
        <v>342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39</v>
      </c>
      <c r="B216" s="58">
        <v>244</v>
      </c>
      <c r="C216" s="58">
        <v>343</v>
      </c>
      <c r="D216" s="5">
        <f t="shared" si="36"/>
        <v>0</v>
      </c>
      <c r="E216" s="2">
        <f t="shared" si="37"/>
        <v>0</v>
      </c>
      <c r="F216" s="2"/>
    </row>
    <row r="217" spans="1:6" ht="75" x14ac:dyDescent="0.25">
      <c r="A217" s="54" t="s">
        <v>40</v>
      </c>
      <c r="B217" s="58">
        <v>244</v>
      </c>
      <c r="C217" s="58">
        <v>344</v>
      </c>
      <c r="D217" s="5">
        <f t="shared" si="36"/>
        <v>0</v>
      </c>
      <c r="E217" s="2">
        <f t="shared" si="37"/>
        <v>0</v>
      </c>
      <c r="F217" s="2"/>
    </row>
    <row r="218" spans="1:6" ht="56.25" x14ac:dyDescent="0.25">
      <c r="A218" s="54" t="s">
        <v>41</v>
      </c>
      <c r="B218" s="58">
        <v>244</v>
      </c>
      <c r="C218" s="58">
        <v>345</v>
      </c>
      <c r="D218" s="5">
        <f t="shared" si="36"/>
        <v>0</v>
      </c>
      <c r="E218" s="2">
        <f t="shared" si="37"/>
        <v>0</v>
      </c>
      <c r="F218" s="2"/>
    </row>
    <row r="219" spans="1:6" ht="75" x14ac:dyDescent="0.25">
      <c r="A219" s="54" t="s">
        <v>42</v>
      </c>
      <c r="B219" s="58">
        <v>244</v>
      </c>
      <c r="C219" s="58">
        <v>346</v>
      </c>
      <c r="D219" s="5">
        <f t="shared" si="36"/>
        <v>538665</v>
      </c>
      <c r="E219" s="2">
        <f t="shared" si="37"/>
        <v>538665</v>
      </c>
      <c r="F219" s="2"/>
    </row>
    <row r="220" spans="1:6" ht="112.5" x14ac:dyDescent="0.25">
      <c r="A220" s="170" t="s">
        <v>341</v>
      </c>
      <c r="B220" s="171">
        <v>244</v>
      </c>
      <c r="C220" s="171">
        <v>347</v>
      </c>
      <c r="D220" s="5">
        <f t="shared" ref="D220" si="38">E220+F220</f>
        <v>0</v>
      </c>
      <c r="E220" s="2">
        <f t="shared" si="37"/>
        <v>0</v>
      </c>
      <c r="F220" s="2"/>
    </row>
    <row r="221" spans="1:6" ht="112.5" x14ac:dyDescent="0.25">
      <c r="A221" s="54" t="s">
        <v>43</v>
      </c>
      <c r="B221" s="58">
        <v>244</v>
      </c>
      <c r="C221" s="58">
        <v>349</v>
      </c>
      <c r="D221" s="5">
        <f t="shared" si="36"/>
        <v>0</v>
      </c>
      <c r="E221" s="2">
        <f t="shared" ref="E221" si="39">E110-E176</f>
        <v>0</v>
      </c>
      <c r="F221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22:C122"/>
    <mergeCell ref="E122:F122"/>
    <mergeCell ref="A79:A81"/>
    <mergeCell ref="A86:A91"/>
    <mergeCell ref="A93:A96"/>
    <mergeCell ref="B118:C118"/>
    <mergeCell ref="E118:F118"/>
    <mergeCell ref="B121:C121"/>
    <mergeCell ref="E121:F121"/>
    <mergeCell ref="B119:C119"/>
    <mergeCell ref="E119:F119"/>
    <mergeCell ref="A35:A36"/>
    <mergeCell ref="A41:A42"/>
    <mergeCell ref="A56:A57"/>
    <mergeCell ref="A72:A73"/>
    <mergeCell ref="A59:A64"/>
    <mergeCell ref="B124:C124"/>
    <mergeCell ref="E124:F124"/>
    <mergeCell ref="B125:C125"/>
    <mergeCell ref="E125:F125"/>
    <mergeCell ref="A127:B127"/>
    <mergeCell ref="A197:A198"/>
    <mergeCell ref="A200:A201"/>
    <mergeCell ref="A128:F128"/>
    <mergeCell ref="A132:F132"/>
    <mergeCell ref="A152:A153"/>
    <mergeCell ref="A155:A156"/>
    <mergeCell ref="A177:F177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3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91" zoomScaleNormal="100" zoomScaleSheetLayoutView="100" workbookViewId="0">
      <selection activeCell="D9" sqref="D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262</v>
      </c>
      <c r="B1" s="240"/>
      <c r="C1" s="240"/>
      <c r="D1" s="240"/>
      <c r="E1" s="240"/>
      <c r="F1" s="240"/>
    </row>
    <row r="2" spans="1:6" ht="18.75" x14ac:dyDescent="0.25">
      <c r="A2" s="240" t="s">
        <v>485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2846491.87</v>
      </c>
      <c r="E9" s="2">
        <f>E10</f>
        <v>2846491.87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2846491.87</v>
      </c>
      <c r="E10" s="2">
        <f>E13+E46+E61+E91</f>
        <v>2846491.87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'!E137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'!E140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'!E141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'!E143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'!E144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'!E144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'!E145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'!E145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'!E146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'!E147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'!E148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'!E149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'!E150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4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'!E152</f>
        <v>0</v>
      </c>
      <c r="F35" s="2"/>
    </row>
    <row r="36" spans="1:6" ht="18.75" x14ac:dyDescent="0.25">
      <c r="A36" s="224"/>
      <c r="B36" s="123">
        <v>244</v>
      </c>
      <c r="C36" s="123">
        <v>225</v>
      </c>
      <c r="D36" s="5">
        <f t="shared" si="1"/>
        <v>0</v>
      </c>
      <c r="E36" s="2">
        <f>'платные на 2023 год '!E153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4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'!E155</f>
        <v>0</v>
      </c>
      <c r="F38" s="2"/>
    </row>
    <row r="39" spans="1:6" ht="18.75" x14ac:dyDescent="0.25">
      <c r="A39" s="224"/>
      <c r="B39" s="123">
        <v>244</v>
      </c>
      <c r="C39" s="123">
        <v>226</v>
      </c>
      <c r="D39" s="5">
        <f t="shared" si="1"/>
        <v>0</v>
      </c>
      <c r="E39" s="2">
        <f>'платные на 2023 год '!E156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'!E157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:D42" si="8">E41+F41</f>
        <v>0</v>
      </c>
      <c r="E41" s="2">
        <f>'платные на 2023 год '!E158</f>
        <v>0</v>
      </c>
      <c r="F41" s="2"/>
    </row>
    <row r="42" spans="1:6" ht="150" x14ac:dyDescent="0.25">
      <c r="A42" s="121" t="s">
        <v>490</v>
      </c>
      <c r="B42" s="123">
        <v>244</v>
      </c>
      <c r="C42" s="123">
        <v>229</v>
      </c>
      <c r="D42" s="5">
        <f t="shared" si="8"/>
        <v>0</v>
      </c>
      <c r="E42" s="2">
        <v>0</v>
      </c>
      <c r="F42" s="2"/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'!E161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'!E162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'!E165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'!E166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'!E169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'!E170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'!E171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'!E172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'!E173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'!E174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'!E175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'!E176</f>
        <v>0</v>
      </c>
      <c r="F59" s="2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22000</v>
      </c>
      <c r="E61" s="2">
        <f>E63+E66+E87</f>
        <v>22000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'!E182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22000</v>
      </c>
      <c r="E66" s="2">
        <f>E68+E69+E70+E78+E79+E82+E85+E86</f>
        <v>22000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'!E185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'!E186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'!E189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'!E190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'!E191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'!E192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'!E193</f>
        <v>0</v>
      </c>
      <c r="F76" s="2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'!E194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'!E195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12000</v>
      </c>
      <c r="E79" s="2">
        <f>E80+E81</f>
        <v>12000</v>
      </c>
      <c r="F79" s="2">
        <f t="shared" ref="F79" si="19">F80+F81</f>
        <v>0</v>
      </c>
    </row>
    <row r="80" spans="1:6" ht="18.75" x14ac:dyDescent="0.25">
      <c r="A80" s="224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'!E197</f>
        <v>0</v>
      </c>
      <c r="F80" s="2"/>
    </row>
    <row r="81" spans="1:6" ht="18.75" x14ac:dyDescent="0.25">
      <c r="A81" s="224"/>
      <c r="B81" s="123">
        <v>244</v>
      </c>
      <c r="C81" s="123">
        <v>225</v>
      </c>
      <c r="D81" s="5">
        <f t="shared" si="20"/>
        <v>12000</v>
      </c>
      <c r="E81" s="2">
        <f>'платные на 2023 год '!E198</f>
        <v>12000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10000</v>
      </c>
      <c r="E82" s="2">
        <f>E83+E84</f>
        <v>10000</v>
      </c>
      <c r="F82" s="2">
        <f>F83+F84</f>
        <v>0</v>
      </c>
    </row>
    <row r="83" spans="1:6" ht="18.75" x14ac:dyDescent="0.25">
      <c r="A83" s="224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'!E200</f>
        <v>0</v>
      </c>
      <c r="F83" s="2"/>
    </row>
    <row r="84" spans="1:6" ht="18.75" x14ac:dyDescent="0.25">
      <c r="A84" s="224"/>
      <c r="B84" s="123">
        <v>244</v>
      </c>
      <c r="C84" s="123">
        <v>226</v>
      </c>
      <c r="D84" s="5">
        <f t="shared" si="20"/>
        <v>10000</v>
      </c>
      <c r="E84" s="2">
        <f>'платные на 2023 год '!E201</f>
        <v>10000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'!E202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'!E203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'!E206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'!E207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2824491.87</v>
      </c>
      <c r="E91" s="2">
        <f>E93+E95+E94</f>
        <v>2824491.87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2285826.87</v>
      </c>
      <c r="E93" s="2">
        <f>'платные на 2023 год '!E210</f>
        <v>2285826.87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'!E211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538665</v>
      </c>
      <c r="E95" s="2">
        <f>E97+E98+E99+E100+E101+E102+E103+E104</f>
        <v>538665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'!E214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'!E215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'!E216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'!E217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'!E218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538665</v>
      </c>
      <c r="E102" s="2">
        <f>'платные на 2023 год '!E219</f>
        <v>538665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'!E220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0</v>
      </c>
      <c r="E104" s="2">
        <f>'платные на 2023 год '!E221</f>
        <v>0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7"/>
      <c r="C107" s="227"/>
      <c r="D107" s="10"/>
      <c r="E107" s="227" t="s">
        <v>478</v>
      </c>
      <c r="F107" s="227"/>
    </row>
    <row r="108" spans="1:6" ht="18.75" x14ac:dyDescent="0.3">
      <c r="A108" s="29"/>
      <c r="B108" s="226" t="s">
        <v>53</v>
      </c>
      <c r="C108" s="226"/>
      <c r="D108" s="10"/>
      <c r="E108" s="226" t="s">
        <v>54</v>
      </c>
      <c r="F108" s="226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7"/>
      <c r="C110" s="227"/>
      <c r="D110" s="10"/>
      <c r="E110" s="227" t="s">
        <v>482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7"/>
      <c r="C113" s="227"/>
      <c r="D113" s="10"/>
      <c r="E113" s="227" t="s">
        <v>482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5" t="s">
        <v>44</v>
      </c>
      <c r="B116" s="225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4" max="5" man="1"/>
    <brk id="88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topLeftCell="A94" zoomScaleNormal="100" zoomScaleSheetLayoutView="100" workbookViewId="0">
      <selection activeCell="D117" sqref="D117:E117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95" t="s">
        <v>495</v>
      </c>
      <c r="B1" s="295"/>
      <c r="C1" s="295"/>
      <c r="D1" s="295"/>
      <c r="E1" s="295"/>
      <c r="F1" s="295"/>
      <c r="G1" s="295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95" t="s">
        <v>496</v>
      </c>
      <c r="B3" s="295"/>
      <c r="C3" s="295"/>
      <c r="D3" s="295"/>
      <c r="E3" s="295"/>
      <c r="F3" s="295"/>
      <c r="G3" s="295"/>
    </row>
    <row r="4" spans="1:7" ht="43.9" customHeight="1" x14ac:dyDescent="0.25">
      <c r="A4" s="295" t="s">
        <v>174</v>
      </c>
      <c r="B4" s="295"/>
      <c r="C4" s="295"/>
      <c r="D4" s="295"/>
      <c r="E4" s="295"/>
      <c r="F4" s="295"/>
      <c r="G4" s="295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81" t="s">
        <v>172</v>
      </c>
      <c r="C9" s="281"/>
      <c r="D9" s="281" t="s">
        <v>173</v>
      </c>
      <c r="E9" s="281"/>
      <c r="F9" s="281" t="s">
        <v>94</v>
      </c>
      <c r="G9" s="281"/>
    </row>
    <row r="10" spans="1:7" ht="18.75" x14ac:dyDescent="0.25">
      <c r="A10" s="68">
        <v>1</v>
      </c>
      <c r="B10" s="281">
        <v>2</v>
      </c>
      <c r="C10" s="281"/>
      <c r="D10" s="281">
        <v>3</v>
      </c>
      <c r="E10" s="281"/>
      <c r="F10" s="281">
        <v>4</v>
      </c>
      <c r="G10" s="281"/>
    </row>
    <row r="11" spans="1:7" ht="75" x14ac:dyDescent="0.25">
      <c r="A11" s="13" t="s">
        <v>164</v>
      </c>
      <c r="B11" s="281"/>
      <c r="C11" s="281"/>
      <c r="D11" s="281"/>
      <c r="E11" s="281"/>
      <c r="F11" s="287">
        <f>'платные на 2023 год '!D13</f>
        <v>217090</v>
      </c>
      <c r="G11" s="287"/>
    </row>
    <row r="12" spans="1:7" ht="18.75" x14ac:dyDescent="0.25">
      <c r="A12" s="64"/>
    </row>
    <row r="13" spans="1:7" ht="18.75" x14ac:dyDescent="0.25">
      <c r="A13" s="295" t="s">
        <v>176</v>
      </c>
      <c r="B13" s="295"/>
      <c r="C13" s="295"/>
      <c r="D13" s="295"/>
      <c r="E13" s="295"/>
      <c r="F13" s="295"/>
      <c r="G13" s="295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63" t="s">
        <v>86</v>
      </c>
      <c r="B17" s="292"/>
      <c r="C17" s="264"/>
      <c r="D17" s="263" t="s">
        <v>165</v>
      </c>
      <c r="E17" s="292"/>
      <c r="F17" s="292"/>
      <c r="G17" s="264"/>
    </row>
    <row r="18" spans="1:7" ht="18.75" x14ac:dyDescent="0.25">
      <c r="A18" s="263">
        <v>1</v>
      </c>
      <c r="B18" s="292"/>
      <c r="C18" s="264"/>
      <c r="D18" s="263">
        <v>3</v>
      </c>
      <c r="E18" s="292"/>
      <c r="F18" s="292"/>
      <c r="G18" s="264"/>
    </row>
    <row r="19" spans="1:7" ht="36.75" customHeight="1" x14ac:dyDescent="0.25">
      <c r="A19" s="258" t="s">
        <v>362</v>
      </c>
      <c r="B19" s="259"/>
      <c r="C19" s="260"/>
      <c r="D19" s="261">
        <f>'платные на 2023 год '!D14</f>
        <v>0</v>
      </c>
      <c r="E19" s="316"/>
      <c r="F19" s="316"/>
      <c r="G19" s="262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95" t="s">
        <v>458</v>
      </c>
      <c r="B22" s="295"/>
      <c r="C22" s="295"/>
      <c r="D22" s="295"/>
      <c r="E22" s="295"/>
      <c r="F22" s="295"/>
      <c r="G22" s="295"/>
    </row>
    <row r="23" spans="1:7" ht="18.75" x14ac:dyDescent="0.25">
      <c r="A23" s="8"/>
    </row>
    <row r="24" spans="1:7" ht="18.75" x14ac:dyDescent="0.25">
      <c r="A24" s="280" t="s">
        <v>189</v>
      </c>
      <c r="B24" s="280"/>
      <c r="C24" s="280"/>
      <c r="D24" s="280"/>
      <c r="E24" s="280"/>
      <c r="F24" s="280"/>
      <c r="G24" s="280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81" t="s">
        <v>76</v>
      </c>
      <c r="B28" s="281" t="s">
        <v>77</v>
      </c>
      <c r="C28" s="281" t="s">
        <v>78</v>
      </c>
      <c r="D28" s="281"/>
      <c r="E28" s="281"/>
      <c r="F28" s="281"/>
      <c r="G28" s="281" t="s">
        <v>79</v>
      </c>
    </row>
    <row r="29" spans="1:7" ht="18.75" x14ac:dyDescent="0.25">
      <c r="A29" s="281"/>
      <c r="B29" s="281"/>
      <c r="C29" s="281" t="s">
        <v>80</v>
      </c>
      <c r="D29" s="281" t="s">
        <v>6</v>
      </c>
      <c r="E29" s="281"/>
      <c r="F29" s="281"/>
      <c r="G29" s="281"/>
    </row>
    <row r="30" spans="1:7" ht="75" x14ac:dyDescent="0.25">
      <c r="A30" s="281"/>
      <c r="B30" s="281"/>
      <c r="C30" s="281"/>
      <c r="D30" s="12" t="s">
        <v>81</v>
      </c>
      <c r="E30" s="12" t="s">
        <v>82</v>
      </c>
      <c r="F30" s="12" t="s">
        <v>83</v>
      </c>
      <c r="G30" s="281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'!D72</f>
        <v>830000</v>
      </c>
    </row>
    <row r="34" spans="1:7" ht="18.75" x14ac:dyDescent="0.25">
      <c r="A34" s="8"/>
    </row>
    <row r="35" spans="1:7" ht="18.75" x14ac:dyDescent="0.25">
      <c r="A35" s="280" t="s">
        <v>180</v>
      </c>
      <c r="B35" s="280"/>
      <c r="C35" s="280"/>
      <c r="D35" s="280"/>
      <c r="E35" s="280"/>
      <c r="F35" s="280"/>
      <c r="G35" s="280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81" t="s">
        <v>84</v>
      </c>
      <c r="B39" s="281" t="s">
        <v>244</v>
      </c>
      <c r="C39" s="281"/>
      <c r="D39" s="281" t="s">
        <v>185</v>
      </c>
      <c r="E39" s="281"/>
      <c r="F39" s="281" t="s">
        <v>85</v>
      </c>
      <c r="G39" s="281"/>
    </row>
    <row r="40" spans="1:7" ht="15" customHeight="1" x14ac:dyDescent="0.25">
      <c r="A40" s="281"/>
      <c r="B40" s="281"/>
      <c r="C40" s="281"/>
      <c r="D40" s="281"/>
      <c r="E40" s="281"/>
      <c r="F40" s="281"/>
      <c r="G40" s="281"/>
    </row>
    <row r="41" spans="1:7" ht="18.75" x14ac:dyDescent="0.25">
      <c r="A41" s="68">
        <v>1</v>
      </c>
      <c r="B41" s="281">
        <v>2</v>
      </c>
      <c r="C41" s="281"/>
      <c r="D41" s="281">
        <v>3</v>
      </c>
      <c r="E41" s="281"/>
      <c r="F41" s="281">
        <v>4</v>
      </c>
      <c r="G41" s="281"/>
    </row>
    <row r="42" spans="1:7" ht="18.75" x14ac:dyDescent="0.25">
      <c r="A42" s="13"/>
      <c r="B42" s="287">
        <f>'платные на 2023 год '!D72+'платные на 2023 год '!D31+'платные на 2023 год '!D33</f>
        <v>1080660</v>
      </c>
      <c r="C42" s="287"/>
      <c r="D42" s="287">
        <f>G33</f>
        <v>830000</v>
      </c>
      <c r="E42" s="287"/>
      <c r="F42" s="287">
        <f>B42-D42</f>
        <v>250660</v>
      </c>
      <c r="G42" s="287"/>
    </row>
    <row r="43" spans="1:7" ht="18.75" x14ac:dyDescent="0.25">
      <c r="A43" s="8"/>
    </row>
    <row r="44" spans="1:7" ht="36.6" customHeight="1" x14ac:dyDescent="0.25">
      <c r="A44" s="288" t="s">
        <v>205</v>
      </c>
      <c r="B44" s="288"/>
      <c r="C44" s="288"/>
      <c r="D44" s="288"/>
      <c r="E44" s="288"/>
      <c r="F44" s="288"/>
      <c r="G44" s="288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81" t="s">
        <v>88</v>
      </c>
      <c r="D48" s="281"/>
      <c r="E48" s="68" t="s">
        <v>89</v>
      </c>
      <c r="F48" s="281" t="s">
        <v>90</v>
      </c>
      <c r="G48" s="281"/>
    </row>
    <row r="49" spans="1:7" ht="18.75" x14ac:dyDescent="0.25">
      <c r="A49" s="68">
        <v>1</v>
      </c>
      <c r="B49" s="68">
        <v>2</v>
      </c>
      <c r="C49" s="281">
        <v>3</v>
      </c>
      <c r="D49" s="281"/>
      <c r="E49" s="68">
        <v>4</v>
      </c>
      <c r="F49" s="281">
        <v>5</v>
      </c>
      <c r="G49" s="281"/>
    </row>
    <row r="50" spans="1:7" ht="37.5" x14ac:dyDescent="0.25">
      <c r="A50" s="13" t="s">
        <v>95</v>
      </c>
      <c r="B50" s="171">
        <v>5</v>
      </c>
      <c r="C50" s="281">
        <f>F50/E50/B50</f>
        <v>1600</v>
      </c>
      <c r="D50" s="281"/>
      <c r="E50" s="171">
        <v>10</v>
      </c>
      <c r="F50" s="287">
        <f>'платные на 2023 год '!D59</f>
        <v>80000</v>
      </c>
      <c r="G50" s="287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8" t="s">
        <v>226</v>
      </c>
      <c r="B52" s="288"/>
      <c r="C52" s="288"/>
      <c r="D52" s="288"/>
      <c r="E52" s="288"/>
      <c r="F52" s="288"/>
      <c r="G52" s="288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63" t="s">
        <v>109</v>
      </c>
      <c r="C55" s="264"/>
      <c r="D55" s="263" t="s">
        <v>110</v>
      </c>
      <c r="E55" s="264"/>
      <c r="F55" s="263" t="s">
        <v>111</v>
      </c>
      <c r="G55" s="264"/>
    </row>
    <row r="56" spans="1:7" ht="18.75" customHeight="1" x14ac:dyDescent="0.25">
      <c r="A56" s="206">
        <v>1</v>
      </c>
      <c r="B56" s="263">
        <v>2</v>
      </c>
      <c r="C56" s="264"/>
      <c r="D56" s="293">
        <v>3</v>
      </c>
      <c r="E56" s="294"/>
      <c r="F56" s="293">
        <v>4</v>
      </c>
      <c r="G56" s="294"/>
    </row>
    <row r="57" spans="1:7" ht="18.75" x14ac:dyDescent="0.25">
      <c r="A57" s="13"/>
      <c r="B57" s="261"/>
      <c r="C57" s="262"/>
      <c r="D57" s="261"/>
      <c r="E57" s="262"/>
      <c r="F57" s="283">
        <v>0</v>
      </c>
      <c r="G57" s="284"/>
    </row>
    <row r="58" spans="1:7" ht="18.75" x14ac:dyDescent="0.25">
      <c r="A58" s="13"/>
      <c r="B58" s="261"/>
      <c r="C58" s="262"/>
      <c r="D58" s="261"/>
      <c r="E58" s="262"/>
      <c r="F58" s="285"/>
      <c r="G58" s="286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81" t="s">
        <v>109</v>
      </c>
      <c r="C62" s="281"/>
      <c r="D62" s="281" t="s">
        <v>110</v>
      </c>
      <c r="E62" s="281"/>
      <c r="F62" s="281" t="s">
        <v>115</v>
      </c>
      <c r="G62" s="281"/>
    </row>
    <row r="63" spans="1:7" ht="18.75" x14ac:dyDescent="0.3">
      <c r="A63" s="206">
        <v>1</v>
      </c>
      <c r="B63" s="263">
        <v>2</v>
      </c>
      <c r="C63" s="264"/>
      <c r="D63" s="263">
        <v>3</v>
      </c>
      <c r="E63" s="264"/>
      <c r="F63" s="254">
        <v>4</v>
      </c>
      <c r="G63" s="255"/>
    </row>
    <row r="64" spans="1:7" ht="18.75" x14ac:dyDescent="0.25">
      <c r="A64" s="13" t="s">
        <v>460</v>
      </c>
      <c r="B64" s="263" t="s">
        <v>117</v>
      </c>
      <c r="C64" s="264"/>
      <c r="D64" s="263" t="s">
        <v>117</v>
      </c>
      <c r="E64" s="264"/>
      <c r="F64" s="305">
        <f>'платные на 2023 год '!D80</f>
        <v>0</v>
      </c>
      <c r="G64" s="307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63" t="s">
        <v>109</v>
      </c>
      <c r="C68" s="264"/>
      <c r="D68" s="263" t="s">
        <v>110</v>
      </c>
      <c r="E68" s="264"/>
      <c r="F68" s="263" t="s">
        <v>115</v>
      </c>
      <c r="G68" s="264"/>
    </row>
    <row r="69" spans="1:7" ht="18.75" customHeight="1" x14ac:dyDescent="0.3">
      <c r="A69" s="206">
        <v>1</v>
      </c>
      <c r="B69" s="263">
        <v>2</v>
      </c>
      <c r="C69" s="264"/>
      <c r="D69" s="263">
        <v>3</v>
      </c>
      <c r="E69" s="264"/>
      <c r="F69" s="254">
        <v>4</v>
      </c>
      <c r="G69" s="255"/>
    </row>
    <row r="70" spans="1:7" ht="75" x14ac:dyDescent="0.25">
      <c r="A70" s="13" t="s">
        <v>155</v>
      </c>
      <c r="B70" s="263" t="s">
        <v>117</v>
      </c>
      <c r="C70" s="264"/>
      <c r="D70" s="263" t="s">
        <v>117</v>
      </c>
      <c r="E70" s="264"/>
      <c r="F70" s="305">
        <v>0</v>
      </c>
      <c r="G70" s="306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8" t="s">
        <v>213</v>
      </c>
      <c r="B72" s="288"/>
      <c r="C72" s="288"/>
      <c r="D72" s="288"/>
      <c r="E72" s="288"/>
      <c r="F72" s="288"/>
      <c r="G72" s="288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81" t="s">
        <v>109</v>
      </c>
      <c r="C75" s="281"/>
      <c r="D75" s="281" t="s">
        <v>110</v>
      </c>
      <c r="E75" s="281"/>
      <c r="F75" s="281" t="s">
        <v>111</v>
      </c>
      <c r="G75" s="281"/>
    </row>
    <row r="76" spans="1:7" ht="18.75" x14ac:dyDescent="0.25">
      <c r="A76" s="210">
        <v>1</v>
      </c>
      <c r="B76" s="281">
        <v>2</v>
      </c>
      <c r="C76" s="281"/>
      <c r="D76" s="281">
        <v>3</v>
      </c>
      <c r="E76" s="281"/>
      <c r="F76" s="281">
        <v>4</v>
      </c>
      <c r="G76" s="281"/>
    </row>
    <row r="77" spans="1:7" ht="18.75" x14ac:dyDescent="0.25">
      <c r="A77" s="210" t="s">
        <v>249</v>
      </c>
      <c r="B77" s="261" t="s">
        <v>117</v>
      </c>
      <c r="C77" s="262"/>
      <c r="D77" s="263" t="s">
        <v>117</v>
      </c>
      <c r="E77" s="264"/>
      <c r="F77" s="261">
        <f>'платные на 2023 год '!E95</f>
        <v>0</v>
      </c>
      <c r="G77" s="262"/>
    </row>
    <row r="78" spans="1:7" ht="18.75" x14ac:dyDescent="0.25">
      <c r="A78" s="13"/>
      <c r="B78" s="319"/>
      <c r="C78" s="319"/>
      <c r="D78" s="319"/>
      <c r="E78" s="319"/>
      <c r="F78" s="320"/>
      <c r="G78" s="320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282" t="s">
        <v>220</v>
      </c>
      <c r="B80" s="282"/>
      <c r="C80" s="282"/>
      <c r="D80" s="282"/>
      <c r="E80" s="282"/>
      <c r="F80" s="282"/>
      <c r="G80" s="282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63" t="s">
        <v>86</v>
      </c>
      <c r="B83" s="292"/>
      <c r="C83" s="264"/>
      <c r="D83" s="263" t="s">
        <v>131</v>
      </c>
      <c r="E83" s="264"/>
      <c r="F83" s="263" t="s">
        <v>132</v>
      </c>
      <c r="G83" s="264"/>
    </row>
    <row r="84" spans="1:7" ht="54.6" customHeight="1" x14ac:dyDescent="0.3">
      <c r="A84" s="263">
        <v>1</v>
      </c>
      <c r="B84" s="292"/>
      <c r="C84" s="264"/>
      <c r="D84" s="254">
        <v>2</v>
      </c>
      <c r="E84" s="255"/>
      <c r="F84" s="254">
        <v>3</v>
      </c>
      <c r="G84" s="255"/>
    </row>
    <row r="85" spans="1:7" ht="18.75" x14ac:dyDescent="0.3">
      <c r="A85" s="258" t="s">
        <v>377</v>
      </c>
      <c r="B85" s="259"/>
      <c r="C85" s="260"/>
      <c r="D85" s="254"/>
      <c r="E85" s="255"/>
      <c r="F85" s="271"/>
      <c r="G85" s="273"/>
    </row>
    <row r="86" spans="1:7" ht="18.75" x14ac:dyDescent="0.3">
      <c r="A86" s="258" t="s">
        <v>437</v>
      </c>
      <c r="B86" s="259"/>
      <c r="C86" s="260"/>
      <c r="D86" s="254">
        <v>6</v>
      </c>
      <c r="E86" s="255"/>
      <c r="F86" s="271">
        <v>12000</v>
      </c>
      <c r="G86" s="273"/>
    </row>
    <row r="87" spans="1:7" ht="18.75" x14ac:dyDescent="0.3">
      <c r="A87" s="258" t="s">
        <v>146</v>
      </c>
      <c r="B87" s="259"/>
      <c r="C87" s="260"/>
      <c r="D87" s="254"/>
      <c r="E87" s="255"/>
      <c r="F87" s="271">
        <f>'платные на 2023 год '!D57</f>
        <v>12000</v>
      </c>
      <c r="G87" s="273"/>
    </row>
    <row r="88" spans="1:7" ht="18.75" x14ac:dyDescent="0.25">
      <c r="A88" s="8"/>
    </row>
    <row r="89" spans="1:7" ht="31.9" customHeight="1" x14ac:dyDescent="0.25">
      <c r="A89" s="280" t="s">
        <v>221</v>
      </c>
      <c r="B89" s="280"/>
      <c r="C89" s="280"/>
      <c r="D89" s="280"/>
      <c r="E89" s="280"/>
      <c r="F89" s="280"/>
      <c r="G89" s="280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63" t="s">
        <v>86</v>
      </c>
      <c r="B93" s="292"/>
      <c r="C93" s="264"/>
      <c r="D93" s="263" t="s">
        <v>137</v>
      </c>
      <c r="E93" s="264"/>
      <c r="F93" s="263" t="s">
        <v>138</v>
      </c>
      <c r="G93" s="264"/>
    </row>
    <row r="94" spans="1:7" ht="18.75" x14ac:dyDescent="0.3">
      <c r="A94" s="263">
        <v>1</v>
      </c>
      <c r="B94" s="292"/>
      <c r="C94" s="264"/>
      <c r="D94" s="254">
        <v>2</v>
      </c>
      <c r="E94" s="255"/>
      <c r="F94" s="254">
        <v>3</v>
      </c>
      <c r="G94" s="255"/>
    </row>
    <row r="95" spans="1:7" ht="18.75" x14ac:dyDescent="0.3">
      <c r="A95" s="258" t="s">
        <v>377</v>
      </c>
      <c r="B95" s="259"/>
      <c r="C95" s="260"/>
      <c r="D95" s="267"/>
      <c r="E95" s="268"/>
      <c r="F95" s="271"/>
      <c r="G95" s="273"/>
    </row>
    <row r="96" spans="1:7" ht="18.75" x14ac:dyDescent="0.3">
      <c r="A96" s="258" t="s">
        <v>139</v>
      </c>
      <c r="B96" s="259"/>
      <c r="C96" s="260"/>
      <c r="D96" s="267">
        <v>1</v>
      </c>
      <c r="E96" s="268"/>
      <c r="F96" s="271">
        <v>10000</v>
      </c>
      <c r="G96" s="273"/>
    </row>
    <row r="97" spans="1:7" ht="18.75" x14ac:dyDescent="0.3">
      <c r="A97" s="258" t="s">
        <v>146</v>
      </c>
      <c r="B97" s="259"/>
      <c r="C97" s="260"/>
      <c r="D97" s="289"/>
      <c r="E97" s="290"/>
      <c r="F97" s="271">
        <f>'платные на 2023 год '!D63</f>
        <v>10000</v>
      </c>
      <c r="G97" s="273"/>
    </row>
    <row r="98" spans="1:7" ht="18.75" x14ac:dyDescent="0.3">
      <c r="A98" s="28"/>
      <c r="B98" s="28"/>
      <c r="C98" s="28"/>
      <c r="D98" s="17"/>
      <c r="E98" s="17"/>
      <c r="F98" s="197"/>
      <c r="G98" s="197"/>
    </row>
    <row r="99" spans="1:7" ht="18.75" x14ac:dyDescent="0.25">
      <c r="A99" s="288" t="s">
        <v>223</v>
      </c>
      <c r="B99" s="288"/>
      <c r="C99" s="288"/>
      <c r="D99" s="288"/>
      <c r="E99" s="288"/>
      <c r="F99" s="288"/>
      <c r="G99" s="288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0" t="s">
        <v>86</v>
      </c>
      <c r="B103" s="281" t="s">
        <v>142</v>
      </c>
      <c r="C103" s="281"/>
      <c r="D103" s="281" t="s">
        <v>143</v>
      </c>
      <c r="E103" s="281"/>
      <c r="F103" s="281" t="s">
        <v>149</v>
      </c>
      <c r="G103" s="281"/>
    </row>
    <row r="104" spans="1:7" ht="18.75" x14ac:dyDescent="0.25">
      <c r="A104" s="210">
        <v>1</v>
      </c>
      <c r="B104" s="263">
        <v>2</v>
      </c>
      <c r="C104" s="264"/>
      <c r="D104" s="263">
        <v>3</v>
      </c>
      <c r="E104" s="264"/>
      <c r="F104" s="263">
        <v>4</v>
      </c>
      <c r="G104" s="264"/>
    </row>
    <row r="105" spans="1:7" ht="18.75" x14ac:dyDescent="0.25">
      <c r="A105" s="210"/>
      <c r="B105" s="263"/>
      <c r="C105" s="264"/>
      <c r="D105" s="263"/>
      <c r="E105" s="264"/>
      <c r="F105" s="261">
        <f t="shared" ref="F105:F106" si="0">B105*D105</f>
        <v>0</v>
      </c>
      <c r="G105" s="262"/>
    </row>
    <row r="106" spans="1:7" ht="18.75" x14ac:dyDescent="0.25">
      <c r="A106" s="209" t="s">
        <v>248</v>
      </c>
      <c r="B106" s="263"/>
      <c r="C106" s="264"/>
      <c r="D106" s="263"/>
      <c r="E106" s="264"/>
      <c r="F106" s="261">
        <f t="shared" si="0"/>
        <v>0</v>
      </c>
      <c r="G106" s="262"/>
    </row>
    <row r="107" spans="1:7" ht="18.75" x14ac:dyDescent="0.25">
      <c r="A107" s="209"/>
      <c r="B107" s="263"/>
      <c r="C107" s="264"/>
      <c r="D107" s="263"/>
      <c r="E107" s="264"/>
      <c r="F107" s="261">
        <f>B107*D107</f>
        <v>0</v>
      </c>
      <c r="G107" s="262"/>
    </row>
    <row r="108" spans="1:7" ht="18.75" x14ac:dyDescent="0.25">
      <c r="A108" s="13" t="s">
        <v>249</v>
      </c>
      <c r="B108" s="263"/>
      <c r="C108" s="264"/>
      <c r="D108" s="263"/>
      <c r="E108" s="264"/>
      <c r="F108" s="261">
        <f>B108*D108</f>
        <v>0</v>
      </c>
      <c r="G108" s="262"/>
    </row>
    <row r="109" spans="1:7" ht="18.75" x14ac:dyDescent="0.25">
      <c r="A109" s="8"/>
    </row>
    <row r="110" spans="1:7" ht="18.75" x14ac:dyDescent="0.25">
      <c r="A110" s="280" t="s">
        <v>224</v>
      </c>
      <c r="B110" s="280"/>
      <c r="C110" s="280"/>
      <c r="D110" s="280"/>
      <c r="E110" s="280"/>
      <c r="F110" s="280"/>
      <c r="G110" s="280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81" t="s">
        <v>142</v>
      </c>
      <c r="C114" s="281"/>
      <c r="D114" s="281" t="s">
        <v>143</v>
      </c>
      <c r="E114" s="281"/>
      <c r="F114" s="281" t="s">
        <v>150</v>
      </c>
      <c r="G114" s="281"/>
    </row>
    <row r="115" spans="1:7" ht="18.75" x14ac:dyDescent="0.25">
      <c r="A115" s="68">
        <v>1</v>
      </c>
      <c r="B115" s="263">
        <v>2</v>
      </c>
      <c r="C115" s="264"/>
      <c r="D115" s="263">
        <v>3</v>
      </c>
      <c r="E115" s="264"/>
      <c r="F115" s="263">
        <v>4</v>
      </c>
      <c r="G115" s="264"/>
    </row>
    <row r="116" spans="1:7" ht="37.5" x14ac:dyDescent="0.25">
      <c r="A116" s="13" t="s">
        <v>144</v>
      </c>
      <c r="B116" s="263">
        <v>123</v>
      </c>
      <c r="C116" s="264"/>
      <c r="D116" s="263">
        <f>F116/B116</f>
        <v>18583.958292682928</v>
      </c>
      <c r="E116" s="264"/>
      <c r="F116" s="261">
        <f>'платные на 2023 год '!D99</f>
        <v>2285826.87</v>
      </c>
      <c r="G116" s="262"/>
    </row>
    <row r="117" spans="1:7" ht="18.75" x14ac:dyDescent="0.25">
      <c r="A117" s="13" t="s">
        <v>146</v>
      </c>
      <c r="B117" s="263"/>
      <c r="C117" s="264"/>
      <c r="D117" s="263"/>
      <c r="E117" s="264"/>
      <c r="F117" s="261">
        <f>F116</f>
        <v>2285826.87</v>
      </c>
      <c r="G117" s="262"/>
    </row>
    <row r="118" spans="1:7" ht="18.75" x14ac:dyDescent="0.25">
      <c r="A118" s="8"/>
    </row>
    <row r="119" spans="1:7" ht="18.75" x14ac:dyDescent="0.25">
      <c r="A119" s="288" t="s">
        <v>251</v>
      </c>
      <c r="B119" s="288"/>
      <c r="C119" s="288"/>
      <c r="D119" s="288"/>
      <c r="E119" s="288"/>
      <c r="F119" s="288"/>
      <c r="G119" s="288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81" t="s">
        <v>142</v>
      </c>
      <c r="C123" s="281"/>
      <c r="D123" s="281" t="s">
        <v>143</v>
      </c>
      <c r="E123" s="281"/>
      <c r="F123" s="281" t="s">
        <v>150</v>
      </c>
      <c r="G123" s="281"/>
    </row>
    <row r="124" spans="1:7" ht="18.75" x14ac:dyDescent="0.25">
      <c r="A124" s="68">
        <v>1</v>
      </c>
      <c r="B124" s="263">
        <v>2</v>
      </c>
      <c r="C124" s="264"/>
      <c r="D124" s="263">
        <v>3</v>
      </c>
      <c r="E124" s="264"/>
      <c r="F124" s="263">
        <v>4</v>
      </c>
      <c r="G124" s="264"/>
    </row>
    <row r="125" spans="1:7" ht="18.75" x14ac:dyDescent="0.25">
      <c r="A125" s="13"/>
      <c r="B125" s="293"/>
      <c r="C125" s="294"/>
      <c r="D125" s="293"/>
      <c r="E125" s="294"/>
      <c r="F125" s="261"/>
      <c r="G125" s="262"/>
    </row>
    <row r="126" spans="1:7" ht="18.75" x14ac:dyDescent="0.25">
      <c r="A126" s="13" t="s">
        <v>237</v>
      </c>
      <c r="B126" s="293"/>
      <c r="C126" s="294"/>
      <c r="D126" s="293"/>
      <c r="E126" s="294"/>
      <c r="F126" s="261">
        <f>'платные на 2023 год '!D103</f>
        <v>0</v>
      </c>
      <c r="G126" s="262"/>
    </row>
    <row r="127" spans="1:7" ht="18.75" x14ac:dyDescent="0.25">
      <c r="A127" s="13"/>
      <c r="B127" s="293"/>
      <c r="C127" s="294"/>
      <c r="D127" s="293"/>
      <c r="E127" s="294"/>
      <c r="F127" s="261"/>
      <c r="G127" s="262"/>
    </row>
    <row r="128" spans="1:7" ht="18.75" x14ac:dyDescent="0.25">
      <c r="A128" s="13" t="s">
        <v>238</v>
      </c>
      <c r="B128" s="293"/>
      <c r="C128" s="294"/>
      <c r="D128" s="293"/>
      <c r="E128" s="294"/>
      <c r="F128" s="261">
        <f>'платные на 2023 год '!D104</f>
        <v>0</v>
      </c>
      <c r="G128" s="262"/>
    </row>
    <row r="129" spans="1:7" ht="18.75" x14ac:dyDescent="0.25">
      <c r="A129" s="13"/>
      <c r="B129" s="293"/>
      <c r="C129" s="294"/>
      <c r="D129" s="293"/>
      <c r="E129" s="294"/>
      <c r="F129" s="261"/>
      <c r="G129" s="262"/>
    </row>
    <row r="130" spans="1:7" ht="18.75" x14ac:dyDescent="0.25">
      <c r="A130" s="13" t="s">
        <v>239</v>
      </c>
      <c r="B130" s="293"/>
      <c r="C130" s="294"/>
      <c r="D130" s="293"/>
      <c r="E130" s="294"/>
      <c r="F130" s="261">
        <f>'платные на 2023 год '!D105</f>
        <v>0</v>
      </c>
      <c r="G130" s="262"/>
    </row>
    <row r="131" spans="1:7" ht="18.75" x14ac:dyDescent="0.25">
      <c r="A131" s="13"/>
      <c r="B131" s="293"/>
      <c r="C131" s="294"/>
      <c r="D131" s="293"/>
      <c r="E131" s="294"/>
      <c r="F131" s="261"/>
      <c r="G131" s="262"/>
    </row>
    <row r="132" spans="1:7" ht="18.75" x14ac:dyDescent="0.25">
      <c r="A132" s="13" t="s">
        <v>240</v>
      </c>
      <c r="B132" s="293"/>
      <c r="C132" s="294"/>
      <c r="D132" s="293"/>
      <c r="E132" s="294"/>
      <c r="F132" s="261">
        <f>'платные на 2023 год '!D106</f>
        <v>0</v>
      </c>
      <c r="G132" s="262"/>
    </row>
    <row r="133" spans="1:7" ht="18.75" x14ac:dyDescent="0.25">
      <c r="A133" s="13"/>
      <c r="B133" s="293"/>
      <c r="C133" s="294"/>
      <c r="D133" s="293"/>
      <c r="E133" s="294"/>
      <c r="F133" s="261"/>
      <c r="G133" s="262"/>
    </row>
    <row r="134" spans="1:7" ht="18.75" x14ac:dyDescent="0.25">
      <c r="A134" s="13" t="s">
        <v>241</v>
      </c>
      <c r="B134" s="293"/>
      <c r="C134" s="294"/>
      <c r="D134" s="293"/>
      <c r="E134" s="294"/>
      <c r="F134" s="261">
        <f>'платные на 2023 год '!D107</f>
        <v>0</v>
      </c>
      <c r="G134" s="262"/>
    </row>
    <row r="135" spans="1:7" ht="18.75" customHeight="1" x14ac:dyDescent="0.25">
      <c r="A135" s="13"/>
      <c r="B135" s="293"/>
      <c r="C135" s="294"/>
      <c r="D135" s="293"/>
      <c r="E135" s="294"/>
      <c r="F135" s="261"/>
      <c r="G135" s="262"/>
    </row>
    <row r="136" spans="1:7" ht="18.75" x14ac:dyDescent="0.25">
      <c r="A136" s="13" t="s">
        <v>242</v>
      </c>
      <c r="B136" s="293"/>
      <c r="C136" s="294"/>
      <c r="D136" s="293"/>
      <c r="E136" s="294"/>
      <c r="F136" s="261">
        <f>'платные на 2023 год '!D108</f>
        <v>538665</v>
      </c>
      <c r="G136" s="262"/>
    </row>
    <row r="137" spans="1:7" ht="37.5" x14ac:dyDescent="0.25">
      <c r="A137" s="13" t="s">
        <v>342</v>
      </c>
      <c r="B137" s="317" t="s">
        <v>477</v>
      </c>
      <c r="C137" s="318"/>
      <c r="D137" s="261">
        <f>F137/B137</f>
        <v>1795.55</v>
      </c>
      <c r="E137" s="262"/>
      <c r="F137" s="261">
        <v>538665</v>
      </c>
      <c r="G137" s="262"/>
    </row>
    <row r="138" spans="1:7" ht="18.75" x14ac:dyDescent="0.25">
      <c r="A138" s="13" t="s">
        <v>242</v>
      </c>
      <c r="B138" s="293"/>
      <c r="C138" s="294"/>
      <c r="D138" s="293"/>
      <c r="E138" s="294"/>
      <c r="F138" s="261">
        <f>'платные на 2023 год '!D109</f>
        <v>0</v>
      </c>
      <c r="G138" s="262"/>
    </row>
    <row r="139" spans="1:7" ht="18.75" x14ac:dyDescent="0.25">
      <c r="A139" s="13" t="s">
        <v>243</v>
      </c>
      <c r="B139" s="293">
        <v>3</v>
      </c>
      <c r="C139" s="294"/>
      <c r="D139" s="261">
        <v>3204</v>
      </c>
      <c r="E139" s="262"/>
      <c r="F139" s="261">
        <f>'платные на 2023 год '!D110</f>
        <v>0</v>
      </c>
      <c r="G139" s="262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7"/>
      <c r="D142" s="227"/>
      <c r="E142" s="10"/>
      <c r="F142" s="227" t="s">
        <v>478</v>
      </c>
      <c r="G142" s="227"/>
    </row>
    <row r="143" spans="1:7" ht="18.75" x14ac:dyDescent="0.3">
      <c r="A143" s="29"/>
      <c r="B143" s="10"/>
      <c r="C143" s="226" t="s">
        <v>53</v>
      </c>
      <c r="D143" s="226"/>
      <c r="E143" s="10"/>
      <c r="F143" s="226" t="s">
        <v>54</v>
      </c>
      <c r="G143" s="226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7"/>
      <c r="D145" s="227"/>
      <c r="E145" s="10"/>
      <c r="F145" s="227" t="s">
        <v>482</v>
      </c>
      <c r="G145" s="227"/>
    </row>
    <row r="146" spans="1:7" ht="18.75" x14ac:dyDescent="0.3">
      <c r="A146" s="29"/>
      <c r="B146" s="10"/>
      <c r="C146" s="226" t="s">
        <v>53</v>
      </c>
      <c r="D146" s="226"/>
      <c r="E146" s="10"/>
      <c r="F146" s="226" t="s">
        <v>54</v>
      </c>
      <c r="G146" s="226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7"/>
      <c r="D148" s="227"/>
      <c r="E148" s="10"/>
      <c r="F148" s="227" t="s">
        <v>482</v>
      </c>
      <c r="G148" s="227"/>
    </row>
    <row r="149" spans="1:7" ht="18.75" x14ac:dyDescent="0.3">
      <c r="A149" s="29"/>
      <c r="B149" s="10"/>
      <c r="C149" s="226" t="s">
        <v>53</v>
      </c>
      <c r="D149" s="226"/>
      <c r="E149" s="10"/>
      <c r="F149" s="226" t="s">
        <v>54</v>
      </c>
      <c r="G149" s="226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25" t="s">
        <v>44</v>
      </c>
      <c r="B151" s="225"/>
      <c r="C151" s="10"/>
      <c r="D151" s="10"/>
      <c r="E151" s="10"/>
      <c r="F151" s="10"/>
      <c r="G151" s="10"/>
    </row>
  </sheetData>
  <mergeCells count="217"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2"/>
  <sheetViews>
    <sheetView view="pageBreakPreview" zoomScaleNormal="100" zoomScaleSheetLayoutView="100" workbookViewId="0">
      <selection activeCell="E92" sqref="E9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40" t="s">
        <v>191</v>
      </c>
      <c r="B1" s="240"/>
      <c r="C1" s="240"/>
      <c r="D1" s="240"/>
      <c r="E1" s="240"/>
      <c r="F1" s="240"/>
    </row>
    <row r="2" spans="1:6" ht="18.75" x14ac:dyDescent="0.25">
      <c r="A2" s="240" t="s">
        <v>486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2</v>
      </c>
      <c r="F5" s="247"/>
    </row>
    <row r="6" spans="1:6" ht="126.75" thickBot="1" x14ac:dyDescent="0.3">
      <c r="A6" s="233"/>
      <c r="B6" s="235"/>
      <c r="C6" s="237"/>
      <c r="D6" s="235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2" si="0">E9+F9</f>
        <v>0</v>
      </c>
      <c r="E9" s="5">
        <f>E10+E8-E16+E102</f>
        <v>0</v>
      </c>
      <c r="F9" s="31">
        <f>F10+F8-F16+F102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530000</v>
      </c>
      <c r="E10" s="2">
        <f>E12</f>
        <v>530000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530000</v>
      </c>
      <c r="E12" s="2">
        <f>SUM(E13:E15)</f>
        <v>530000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438</v>
      </c>
      <c r="B14" s="123"/>
      <c r="C14" s="123"/>
      <c r="D14" s="2">
        <f>E14+F14</f>
        <v>530000</v>
      </c>
      <c r="E14" s="2">
        <f>2000000-1470000</f>
        <v>530000</v>
      </c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530000</v>
      </c>
      <c r="E16" s="2">
        <f>E18+E88</f>
        <v>530000</v>
      </c>
      <c r="F16" s="4">
        <f>F18+F88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E20+E28+E58+E67</f>
        <v>0</v>
      </c>
      <c r="F18" s="4">
        <f>F20+F28+F58+F67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21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22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E30+E31+E34+E45+E46+E49+E56+E57</f>
        <v>0</v>
      </c>
      <c r="F28" s="4">
        <f>F30+F31+F34+F45+F46+F49+F56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4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4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436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4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4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E50+E51+E53+E54+E52+E55</f>
        <v>0</v>
      </c>
      <c r="F49" s="4">
        <f>F50+F51+F53+F54+F52</f>
        <v>0</v>
      </c>
    </row>
    <row r="50" spans="1:6" ht="18.75" x14ac:dyDescent="0.25">
      <c r="A50" s="241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42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42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42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42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243"/>
      <c r="B55" s="221">
        <v>323</v>
      </c>
      <c r="C55" s="221">
        <v>226</v>
      </c>
      <c r="D55" s="5"/>
      <c r="E55" s="2"/>
      <c r="F55" s="4"/>
    </row>
    <row r="56" spans="1:6" ht="18.75" x14ac:dyDescent="0.25">
      <c r="A56" s="121" t="s">
        <v>25</v>
      </c>
      <c r="B56" s="123">
        <v>244</v>
      </c>
      <c r="C56" s="123">
        <v>227</v>
      </c>
      <c r="D56" s="5">
        <f>E56+F56</f>
        <v>0</v>
      </c>
      <c r="E56" s="2">
        <v>0</v>
      </c>
      <c r="F56" s="4"/>
    </row>
    <row r="57" spans="1:6" ht="56.25" x14ac:dyDescent="0.25">
      <c r="A57" s="170" t="s">
        <v>340</v>
      </c>
      <c r="B57" s="171">
        <v>244</v>
      </c>
      <c r="C57" s="171">
        <v>228</v>
      </c>
      <c r="D57" s="5">
        <f>E57+F57</f>
        <v>0</v>
      </c>
      <c r="E57" s="2">
        <v>0</v>
      </c>
      <c r="F57" s="4"/>
    </row>
    <row r="58" spans="1:6" ht="150" x14ac:dyDescent="0.25">
      <c r="A58" s="121" t="s">
        <v>490</v>
      </c>
      <c r="B58" s="123">
        <v>244</v>
      </c>
      <c r="C58" s="123">
        <v>229</v>
      </c>
      <c r="D58" s="5">
        <f t="shared" ref="D58" si="8">E58+F58</f>
        <v>0</v>
      </c>
      <c r="E58" s="2">
        <v>0</v>
      </c>
      <c r="F58" s="4"/>
    </row>
    <row r="59" spans="1:6" ht="93.75" x14ac:dyDescent="0.25">
      <c r="A59" s="212" t="s">
        <v>479</v>
      </c>
      <c r="B59" s="213">
        <v>323</v>
      </c>
      <c r="C59" s="213">
        <v>263</v>
      </c>
      <c r="D59" s="5"/>
      <c r="E59" s="2"/>
      <c r="F59" s="4"/>
    </row>
    <row r="60" spans="1:6" ht="112.5" x14ac:dyDescent="0.25">
      <c r="A60" s="121" t="s">
        <v>27</v>
      </c>
      <c r="B60" s="123">
        <v>321</v>
      </c>
      <c r="C60" s="123">
        <v>264</v>
      </c>
      <c r="D60" s="5">
        <f t="shared" si="0"/>
        <v>0</v>
      </c>
      <c r="E60" s="2">
        <v>0</v>
      </c>
      <c r="F60" s="4"/>
    </row>
    <row r="61" spans="1:6" ht="168.75" x14ac:dyDescent="0.25">
      <c r="A61" s="192" t="s">
        <v>435</v>
      </c>
      <c r="B61" s="193">
        <v>119</v>
      </c>
      <c r="C61" s="193">
        <v>265</v>
      </c>
      <c r="D61" s="5">
        <f t="shared" si="0"/>
        <v>0</v>
      </c>
      <c r="E61" s="2">
        <v>0</v>
      </c>
      <c r="F61" s="4"/>
    </row>
    <row r="62" spans="1:6" ht="93.75" x14ac:dyDescent="0.25">
      <c r="A62" s="121" t="s">
        <v>28</v>
      </c>
      <c r="B62" s="123" t="s">
        <v>5</v>
      </c>
      <c r="C62" s="123">
        <v>266</v>
      </c>
      <c r="D62" s="5">
        <f t="shared" si="0"/>
        <v>0</v>
      </c>
      <c r="E62" s="2">
        <f>E63+E64</f>
        <v>0</v>
      </c>
      <c r="F62" s="4">
        <f t="shared" ref="F62" si="9">F63+F64</f>
        <v>0</v>
      </c>
    </row>
    <row r="63" spans="1:6" ht="18.75" x14ac:dyDescent="0.25">
      <c r="A63" s="224" t="s">
        <v>6</v>
      </c>
      <c r="B63" s="123">
        <v>111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24"/>
      <c r="B64" s="123">
        <v>112</v>
      </c>
      <c r="C64" s="123">
        <v>266</v>
      </c>
      <c r="D64" s="5">
        <f t="shared" si="0"/>
        <v>0</v>
      </c>
      <c r="E64" s="2">
        <v>0</v>
      </c>
      <c r="F64" s="4"/>
    </row>
    <row r="65" spans="1:6" ht="18.75" x14ac:dyDescent="0.25">
      <c r="A65" s="212"/>
      <c r="B65" s="213">
        <v>119</v>
      </c>
      <c r="C65" s="213">
        <v>266</v>
      </c>
      <c r="D65" s="5">
        <f t="shared" ref="D65" si="10">E65+F65</f>
        <v>0</v>
      </c>
      <c r="E65" s="2">
        <v>0</v>
      </c>
      <c r="F65" s="4"/>
    </row>
    <row r="66" spans="1:6" ht="75" x14ac:dyDescent="0.25">
      <c r="A66" s="121" t="s">
        <v>29</v>
      </c>
      <c r="B66" s="123">
        <v>112</v>
      </c>
      <c r="C66" s="123">
        <v>267</v>
      </c>
      <c r="D66" s="5">
        <f t="shared" si="0"/>
        <v>0</v>
      </c>
      <c r="E66" s="2">
        <v>0</v>
      </c>
      <c r="F66" s="4"/>
    </row>
    <row r="67" spans="1:6" ht="18.75" x14ac:dyDescent="0.25">
      <c r="A67" s="121" t="s">
        <v>30</v>
      </c>
      <c r="B67" s="123" t="s">
        <v>5</v>
      </c>
      <c r="C67" s="123">
        <v>290</v>
      </c>
      <c r="D67" s="5">
        <f t="shared" si="0"/>
        <v>0</v>
      </c>
      <c r="E67" s="2">
        <f>E69+E73+E74+E75+E76+E83</f>
        <v>0</v>
      </c>
      <c r="F67" s="4">
        <f>F69+F73+F74+F75+F76+F83</f>
        <v>0</v>
      </c>
    </row>
    <row r="68" spans="1:6" ht="18.75" x14ac:dyDescent="0.25">
      <c r="A68" s="121" t="s">
        <v>9</v>
      </c>
      <c r="B68" s="123"/>
      <c r="C68" s="123"/>
      <c r="D68" s="5">
        <f t="shared" si="0"/>
        <v>0</v>
      </c>
      <c r="E68" s="2"/>
      <c r="F68" s="4"/>
    </row>
    <row r="69" spans="1:6" ht="37.5" x14ac:dyDescent="0.25">
      <c r="A69" s="121" t="s">
        <v>31</v>
      </c>
      <c r="B69" s="123" t="s">
        <v>5</v>
      </c>
      <c r="C69" s="123">
        <v>291</v>
      </c>
      <c r="D69" s="5">
        <f t="shared" si="0"/>
        <v>0</v>
      </c>
      <c r="E69" s="2">
        <f t="shared" ref="E69:F69" si="11">E70+E71+E72</f>
        <v>0</v>
      </c>
      <c r="F69" s="4">
        <f t="shared" si="11"/>
        <v>0</v>
      </c>
    </row>
    <row r="70" spans="1:6" ht="18.75" x14ac:dyDescent="0.25">
      <c r="A70" s="224" t="s">
        <v>6</v>
      </c>
      <c r="B70" s="123">
        <v>851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4"/>
      <c r="B71" s="123">
        <v>852</v>
      </c>
      <c r="C71" s="123">
        <v>291</v>
      </c>
      <c r="D71" s="5">
        <f t="shared" si="0"/>
        <v>0</v>
      </c>
      <c r="E71" s="2">
        <v>0</v>
      </c>
      <c r="F71" s="4"/>
    </row>
    <row r="72" spans="1:6" ht="18.75" x14ac:dyDescent="0.25">
      <c r="A72" s="224"/>
      <c r="B72" s="123">
        <v>853</v>
      </c>
      <c r="C72" s="123">
        <v>291</v>
      </c>
      <c r="D72" s="5">
        <f t="shared" si="0"/>
        <v>0</v>
      </c>
      <c r="E72" s="2">
        <v>0</v>
      </c>
      <c r="F72" s="4"/>
    </row>
    <row r="73" spans="1:6" ht="112.5" x14ac:dyDescent="0.25">
      <c r="A73" s="121" t="s">
        <v>32</v>
      </c>
      <c r="B73" s="123">
        <v>853</v>
      </c>
      <c r="C73" s="123">
        <v>292</v>
      </c>
      <c r="D73" s="5">
        <f t="shared" ref="D73:D106" si="12">E73+F73</f>
        <v>0</v>
      </c>
      <c r="E73" s="2">
        <v>0</v>
      </c>
      <c r="F73" s="4">
        <v>0</v>
      </c>
    </row>
    <row r="74" spans="1:6" ht="131.25" x14ac:dyDescent="0.25">
      <c r="A74" s="121" t="s">
        <v>33</v>
      </c>
      <c r="B74" s="123">
        <v>853</v>
      </c>
      <c r="C74" s="123">
        <v>293</v>
      </c>
      <c r="D74" s="5">
        <f t="shared" si="12"/>
        <v>0</v>
      </c>
      <c r="E74" s="2">
        <v>0</v>
      </c>
      <c r="F74" s="4">
        <v>0</v>
      </c>
    </row>
    <row r="75" spans="1:6" ht="56.25" x14ac:dyDescent="0.25">
      <c r="A75" s="121" t="s">
        <v>158</v>
      </c>
      <c r="B75" s="123">
        <v>853</v>
      </c>
      <c r="C75" s="123">
        <v>295</v>
      </c>
      <c r="D75" s="5">
        <f t="shared" si="12"/>
        <v>0</v>
      </c>
      <c r="E75" s="2">
        <v>0</v>
      </c>
      <c r="F75" s="4">
        <v>0</v>
      </c>
    </row>
    <row r="76" spans="1:6" ht="56.25" x14ac:dyDescent="0.25">
      <c r="A76" s="121" t="s">
        <v>34</v>
      </c>
      <c r="B76" s="123" t="s">
        <v>5</v>
      </c>
      <c r="C76" s="123">
        <v>296</v>
      </c>
      <c r="D76" s="5">
        <f t="shared" si="12"/>
        <v>0</v>
      </c>
      <c r="E76" s="2">
        <f>E77+E78+E79+E80+E82</f>
        <v>0</v>
      </c>
      <c r="F76" s="4">
        <f t="shared" ref="F76" si="13">F77+F78+F79+F80+F82</f>
        <v>0</v>
      </c>
    </row>
    <row r="77" spans="1:6" ht="18.75" x14ac:dyDescent="0.25">
      <c r="A77" s="224" t="s">
        <v>6</v>
      </c>
      <c r="B77" s="123">
        <v>244</v>
      </c>
      <c r="C77" s="123">
        <v>296</v>
      </c>
      <c r="D77" s="5">
        <f t="shared" si="12"/>
        <v>0</v>
      </c>
      <c r="E77" s="2">
        <v>0</v>
      </c>
      <c r="F77" s="4"/>
    </row>
    <row r="78" spans="1:6" ht="18.75" x14ac:dyDescent="0.25">
      <c r="A78" s="224"/>
      <c r="B78" s="123">
        <v>340</v>
      </c>
      <c r="C78" s="123">
        <v>296</v>
      </c>
      <c r="D78" s="5">
        <f t="shared" si="12"/>
        <v>0</v>
      </c>
      <c r="E78" s="2">
        <v>0</v>
      </c>
      <c r="F78" s="4"/>
    </row>
    <row r="79" spans="1:6" ht="18.75" x14ac:dyDescent="0.25">
      <c r="A79" s="224"/>
      <c r="B79" s="123">
        <v>350</v>
      </c>
      <c r="C79" s="123">
        <v>296</v>
      </c>
      <c r="D79" s="5">
        <f t="shared" si="12"/>
        <v>0</v>
      </c>
      <c r="E79" s="2">
        <v>0</v>
      </c>
      <c r="F79" s="4"/>
    </row>
    <row r="80" spans="1:6" ht="18.75" x14ac:dyDescent="0.25">
      <c r="A80" s="224"/>
      <c r="B80" s="123">
        <v>360</v>
      </c>
      <c r="C80" s="123">
        <v>296</v>
      </c>
      <c r="D80" s="5">
        <f t="shared" si="12"/>
        <v>0</v>
      </c>
      <c r="E80" s="2">
        <v>0</v>
      </c>
      <c r="F80" s="4"/>
    </row>
    <row r="81" spans="1:6" ht="18.75" x14ac:dyDescent="0.25">
      <c r="A81" s="224"/>
      <c r="B81" s="208">
        <v>831</v>
      </c>
      <c r="C81" s="208">
        <v>296</v>
      </c>
      <c r="D81" s="5">
        <f t="shared" ref="D81" si="14">E81+F81</f>
        <v>0</v>
      </c>
      <c r="E81" s="2">
        <v>0</v>
      </c>
      <c r="F81" s="4"/>
    </row>
    <row r="82" spans="1:6" ht="18.75" x14ac:dyDescent="0.25">
      <c r="A82" s="224"/>
      <c r="B82" s="123">
        <v>853</v>
      </c>
      <c r="C82" s="123">
        <v>296</v>
      </c>
      <c r="D82" s="5">
        <f t="shared" si="12"/>
        <v>0</v>
      </c>
      <c r="E82" s="2">
        <v>0</v>
      </c>
      <c r="F82" s="4"/>
    </row>
    <row r="83" spans="1:6" ht="62.45" customHeight="1" x14ac:dyDescent="0.25">
      <c r="A83" s="121" t="s">
        <v>35</v>
      </c>
      <c r="B83" s="123" t="s">
        <v>5</v>
      </c>
      <c r="C83" s="123">
        <v>297</v>
      </c>
      <c r="D83" s="5">
        <f>E83+F83</f>
        <v>0</v>
      </c>
      <c r="E83" s="5">
        <f>E84+E85+E86+E87</f>
        <v>0</v>
      </c>
      <c r="F83" s="4">
        <f>F84+F86+F87</f>
        <v>0</v>
      </c>
    </row>
    <row r="84" spans="1:6" ht="18.75" x14ac:dyDescent="0.25">
      <c r="A84" s="224" t="s">
        <v>6</v>
      </c>
      <c r="B84" s="123">
        <v>244</v>
      </c>
      <c r="C84" s="123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4"/>
      <c r="B85" s="210">
        <v>613</v>
      </c>
      <c r="C85" s="210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4"/>
      <c r="B86" s="191">
        <v>831</v>
      </c>
      <c r="C86" s="191">
        <v>297</v>
      </c>
      <c r="D86" s="5">
        <f>E86+F86</f>
        <v>0</v>
      </c>
      <c r="E86" s="2">
        <v>0</v>
      </c>
      <c r="F86" s="4"/>
    </row>
    <row r="87" spans="1:6" ht="18.75" x14ac:dyDescent="0.25">
      <c r="A87" s="224"/>
      <c r="B87" s="123">
        <v>853</v>
      </c>
      <c r="C87" s="123">
        <v>297</v>
      </c>
      <c r="D87" s="5">
        <f t="shared" si="12"/>
        <v>0</v>
      </c>
      <c r="E87" s="2">
        <v>0</v>
      </c>
      <c r="F87" s="4"/>
    </row>
    <row r="88" spans="1:6" ht="56.25" x14ac:dyDescent="0.25">
      <c r="A88" s="121" t="s">
        <v>59</v>
      </c>
      <c r="B88" s="123" t="s">
        <v>5</v>
      </c>
      <c r="C88" s="123">
        <v>300</v>
      </c>
      <c r="D88" s="5">
        <f t="shared" si="12"/>
        <v>530000</v>
      </c>
      <c r="E88" s="2">
        <f>E90+E92+E91</f>
        <v>530000</v>
      </c>
      <c r="F88" s="4">
        <f>F90+F92+F91</f>
        <v>0</v>
      </c>
    </row>
    <row r="89" spans="1:6" ht="18.75" x14ac:dyDescent="0.25">
      <c r="A89" s="121" t="s">
        <v>9</v>
      </c>
      <c r="B89" s="123"/>
      <c r="C89" s="123"/>
      <c r="D89" s="5"/>
      <c r="E89" s="2"/>
      <c r="F89" s="4"/>
    </row>
    <row r="90" spans="1:6" ht="56.25" x14ac:dyDescent="0.25">
      <c r="A90" s="121" t="s">
        <v>36</v>
      </c>
      <c r="B90" s="123">
        <v>244</v>
      </c>
      <c r="C90" s="123">
        <v>310</v>
      </c>
      <c r="D90" s="5">
        <f t="shared" si="12"/>
        <v>0</v>
      </c>
      <c r="E90" s="2">
        <v>0</v>
      </c>
      <c r="F90" s="4"/>
    </row>
    <row r="91" spans="1:6" ht="75" x14ac:dyDescent="0.25">
      <c r="A91" s="121" t="s">
        <v>68</v>
      </c>
      <c r="B91" s="123">
        <v>244</v>
      </c>
      <c r="C91" s="123">
        <v>320</v>
      </c>
      <c r="D91" s="5">
        <f t="shared" si="12"/>
        <v>530000</v>
      </c>
      <c r="E91" s="2">
        <f>2000000-1470000</f>
        <v>530000</v>
      </c>
      <c r="F91" s="4"/>
    </row>
    <row r="92" spans="1:6" ht="75" x14ac:dyDescent="0.25">
      <c r="A92" s="121" t="s">
        <v>60</v>
      </c>
      <c r="B92" s="123" t="s">
        <v>5</v>
      </c>
      <c r="C92" s="123">
        <v>340</v>
      </c>
      <c r="D92" s="5">
        <f t="shared" si="12"/>
        <v>0</v>
      </c>
      <c r="E92" s="2">
        <f>E94+E95+E96+E97+E98+E99+E100+E101</f>
        <v>0</v>
      </c>
      <c r="F92" s="4">
        <f>F94+F95+F96+F97+F98+F99+F101</f>
        <v>0</v>
      </c>
    </row>
    <row r="93" spans="1:6" ht="18.75" x14ac:dyDescent="0.25">
      <c r="A93" s="121" t="s">
        <v>6</v>
      </c>
      <c r="B93" s="123"/>
      <c r="C93" s="123"/>
      <c r="D93" s="5"/>
      <c r="E93" s="2"/>
      <c r="F93" s="4"/>
    </row>
    <row r="94" spans="1:6" ht="131.25" x14ac:dyDescent="0.25">
      <c r="A94" s="121" t="s">
        <v>37</v>
      </c>
      <c r="B94" s="123">
        <v>244</v>
      </c>
      <c r="C94" s="123">
        <v>341</v>
      </c>
      <c r="D94" s="5">
        <f t="shared" si="12"/>
        <v>0</v>
      </c>
      <c r="E94" s="2">
        <v>0</v>
      </c>
      <c r="F94" s="4"/>
    </row>
    <row r="95" spans="1:6" ht="56.25" x14ac:dyDescent="0.25">
      <c r="A95" s="121" t="s">
        <v>38</v>
      </c>
      <c r="B95" s="123">
        <v>244</v>
      </c>
      <c r="C95" s="123">
        <v>342</v>
      </c>
      <c r="D95" s="5">
        <f t="shared" si="12"/>
        <v>0</v>
      </c>
      <c r="E95" s="2">
        <v>0</v>
      </c>
      <c r="F95" s="4"/>
    </row>
    <row r="96" spans="1:6" ht="75" x14ac:dyDescent="0.25">
      <c r="A96" s="121" t="s">
        <v>39</v>
      </c>
      <c r="B96" s="123">
        <v>244</v>
      </c>
      <c r="C96" s="123">
        <v>343</v>
      </c>
      <c r="D96" s="5">
        <f t="shared" si="12"/>
        <v>0</v>
      </c>
      <c r="E96" s="2">
        <v>0</v>
      </c>
      <c r="F96" s="4"/>
    </row>
    <row r="97" spans="1:6" ht="75" x14ac:dyDescent="0.25">
      <c r="A97" s="121" t="s">
        <v>40</v>
      </c>
      <c r="B97" s="123">
        <v>244</v>
      </c>
      <c r="C97" s="123">
        <v>344</v>
      </c>
      <c r="D97" s="5">
        <f t="shared" si="12"/>
        <v>0</v>
      </c>
      <c r="E97" s="2">
        <v>0</v>
      </c>
      <c r="F97" s="4"/>
    </row>
    <row r="98" spans="1:6" ht="56.25" x14ac:dyDescent="0.25">
      <c r="A98" s="121" t="s">
        <v>41</v>
      </c>
      <c r="B98" s="123">
        <v>244</v>
      </c>
      <c r="C98" s="123">
        <v>345</v>
      </c>
      <c r="D98" s="5">
        <f t="shared" si="12"/>
        <v>0</v>
      </c>
      <c r="E98" s="2">
        <v>0</v>
      </c>
      <c r="F98" s="4"/>
    </row>
    <row r="99" spans="1:6" ht="75" x14ac:dyDescent="0.25">
      <c r="A99" s="121" t="s">
        <v>42</v>
      </c>
      <c r="B99" s="123">
        <v>244</v>
      </c>
      <c r="C99" s="123">
        <v>346</v>
      </c>
      <c r="D99" s="5">
        <f>E99+F99</f>
        <v>0</v>
      </c>
      <c r="E99" s="2">
        <v>0</v>
      </c>
      <c r="F99" s="4"/>
    </row>
    <row r="100" spans="1:6" ht="112.5" x14ac:dyDescent="0.25">
      <c r="A100" s="170" t="s">
        <v>341</v>
      </c>
      <c r="B100" s="171">
        <v>244</v>
      </c>
      <c r="C100" s="171">
        <v>347</v>
      </c>
      <c r="D100" s="5">
        <f>E100+F100</f>
        <v>0</v>
      </c>
      <c r="E100" s="2">
        <v>0</v>
      </c>
      <c r="F100" s="4"/>
    </row>
    <row r="101" spans="1:6" ht="112.5" x14ac:dyDescent="0.25">
      <c r="A101" s="121" t="s">
        <v>43</v>
      </c>
      <c r="B101" s="123">
        <v>244</v>
      </c>
      <c r="C101" s="123">
        <v>349</v>
      </c>
      <c r="D101" s="5">
        <f t="shared" si="12"/>
        <v>0</v>
      </c>
      <c r="E101" s="2">
        <v>0</v>
      </c>
      <c r="F101" s="4"/>
    </row>
    <row r="102" spans="1:6" ht="56.25" x14ac:dyDescent="0.25">
      <c r="A102" s="121" t="s">
        <v>67</v>
      </c>
      <c r="B102" s="123" t="s">
        <v>5</v>
      </c>
      <c r="C102" s="123" t="s">
        <v>5</v>
      </c>
      <c r="D102" s="5">
        <f t="shared" si="12"/>
        <v>0</v>
      </c>
      <c r="E102" s="2">
        <f t="shared" ref="E102:F102" si="15">E104+E105+E106</f>
        <v>0</v>
      </c>
      <c r="F102" s="4">
        <f t="shared" si="15"/>
        <v>0</v>
      </c>
    </row>
    <row r="103" spans="1:6" ht="18.75" x14ac:dyDescent="0.25">
      <c r="A103" s="121" t="s">
        <v>6</v>
      </c>
      <c r="B103" s="123"/>
      <c r="C103" s="123"/>
      <c r="D103" s="5"/>
      <c r="E103" s="2"/>
      <c r="F103" s="4"/>
    </row>
    <row r="104" spans="1:6" ht="18.75" x14ac:dyDescent="0.25">
      <c r="A104" s="121" t="s">
        <v>194</v>
      </c>
      <c r="B104" s="123">
        <v>180</v>
      </c>
      <c r="C104" s="123" t="s">
        <v>5</v>
      </c>
      <c r="D104" s="5">
        <f t="shared" si="12"/>
        <v>0</v>
      </c>
      <c r="E104" s="2">
        <v>0</v>
      </c>
      <c r="F104" s="4"/>
    </row>
    <row r="105" spans="1:6" ht="56.25" x14ac:dyDescent="0.25">
      <c r="A105" s="121" t="s">
        <v>195</v>
      </c>
      <c r="B105" s="123">
        <v>180</v>
      </c>
      <c r="C105" s="123" t="s">
        <v>5</v>
      </c>
      <c r="D105" s="5">
        <f t="shared" si="12"/>
        <v>0</v>
      </c>
      <c r="E105" s="2">
        <v>0</v>
      </c>
      <c r="F105" s="4"/>
    </row>
    <row r="106" spans="1:6" ht="57" thickBot="1" x14ac:dyDescent="0.3">
      <c r="A106" s="32" t="s">
        <v>196</v>
      </c>
      <c r="B106" s="33">
        <v>180</v>
      </c>
      <c r="C106" s="33" t="s">
        <v>5</v>
      </c>
      <c r="D106" s="34">
        <f t="shared" si="12"/>
        <v>0</v>
      </c>
      <c r="E106" s="35">
        <v>0</v>
      </c>
      <c r="F106" s="100"/>
    </row>
    <row r="107" spans="1:6" ht="18.75" x14ac:dyDescent="0.25">
      <c r="A107" s="15"/>
      <c r="B107" s="19"/>
      <c r="C107" s="19"/>
      <c r="D107" s="36"/>
      <c r="E107" s="36"/>
      <c r="F107" s="36"/>
    </row>
    <row r="108" spans="1:6" x14ac:dyDescent="0.25">
      <c r="A108" s="11"/>
    </row>
    <row r="109" spans="1:6" ht="37.5" x14ac:dyDescent="0.3">
      <c r="A109" s="29" t="s">
        <v>52</v>
      </c>
      <c r="B109" s="227"/>
      <c r="C109" s="227"/>
      <c r="D109" s="10"/>
      <c r="E109" s="227" t="s">
        <v>478</v>
      </c>
      <c r="F109" s="227"/>
    </row>
    <row r="110" spans="1:6" ht="18.75" x14ac:dyDescent="0.3">
      <c r="A110" s="29"/>
      <c r="B110" s="226" t="s">
        <v>53</v>
      </c>
      <c r="C110" s="226"/>
      <c r="D110" s="10"/>
      <c r="E110" s="226" t="s">
        <v>54</v>
      </c>
      <c r="F110" s="226"/>
    </row>
    <row r="111" spans="1:6" ht="18.75" x14ac:dyDescent="0.3">
      <c r="A111" s="29"/>
      <c r="B111" s="10"/>
      <c r="C111" s="10"/>
      <c r="D111" s="10"/>
      <c r="E111" s="10"/>
      <c r="F111" s="10"/>
    </row>
    <row r="112" spans="1:6" ht="37.5" x14ac:dyDescent="0.3">
      <c r="A112" s="29" t="s">
        <v>55</v>
      </c>
      <c r="B112" s="227"/>
      <c r="C112" s="227"/>
      <c r="D112" s="10"/>
      <c r="E112" s="227" t="s">
        <v>482</v>
      </c>
      <c r="F112" s="227"/>
    </row>
    <row r="113" spans="1:10" ht="18.75" x14ac:dyDescent="0.3">
      <c r="A113" s="29"/>
      <c r="B113" s="226" t="s">
        <v>53</v>
      </c>
      <c r="C113" s="226"/>
      <c r="D113" s="10"/>
      <c r="E113" s="226" t="s">
        <v>54</v>
      </c>
      <c r="F113" s="226"/>
    </row>
    <row r="114" spans="1:10" ht="18.75" x14ac:dyDescent="0.3">
      <c r="A114" s="29"/>
      <c r="B114" s="47"/>
      <c r="C114" s="47"/>
      <c r="D114" s="10"/>
      <c r="E114" s="47"/>
      <c r="F114" s="47"/>
    </row>
    <row r="115" spans="1:10" ht="18.75" x14ac:dyDescent="0.3">
      <c r="A115" s="29" t="s">
        <v>56</v>
      </c>
      <c r="B115" s="227"/>
      <c r="C115" s="227"/>
      <c r="D115" s="10"/>
      <c r="E115" s="227" t="s">
        <v>482</v>
      </c>
      <c r="F115" s="227"/>
    </row>
    <row r="116" spans="1:10" ht="18.75" x14ac:dyDescent="0.3">
      <c r="A116" s="29"/>
      <c r="B116" s="226" t="s">
        <v>53</v>
      </c>
      <c r="C116" s="226"/>
      <c r="D116" s="10"/>
      <c r="E116" s="226" t="s">
        <v>54</v>
      </c>
      <c r="F116" s="226"/>
    </row>
    <row r="117" spans="1:10" ht="18.75" x14ac:dyDescent="0.3">
      <c r="A117" s="29" t="s">
        <v>57</v>
      </c>
      <c r="B117" s="10"/>
      <c r="C117" s="10"/>
      <c r="D117" s="10"/>
      <c r="E117" s="10"/>
      <c r="F117" s="10"/>
    </row>
    <row r="118" spans="1:10" ht="18.75" x14ac:dyDescent="0.3">
      <c r="A118" s="225" t="s">
        <v>44</v>
      </c>
      <c r="B118" s="225"/>
      <c r="C118" s="10"/>
      <c r="D118" s="10"/>
      <c r="E118" s="10"/>
      <c r="F118" s="10"/>
    </row>
    <row r="119" spans="1:10" ht="18.75" x14ac:dyDescent="0.25">
      <c r="A119" s="228" t="s">
        <v>192</v>
      </c>
      <c r="B119" s="228"/>
      <c r="C119" s="228"/>
      <c r="D119" s="228"/>
      <c r="E119" s="228"/>
      <c r="F119" s="228"/>
    </row>
    <row r="120" spans="1:10" ht="60" x14ac:dyDescent="0.25">
      <c r="A120" s="54" t="s">
        <v>184</v>
      </c>
      <c r="B120" s="58" t="s">
        <v>5</v>
      </c>
      <c r="C120" s="58" t="s">
        <v>5</v>
      </c>
      <c r="D120" s="5">
        <f t="shared" ref="D120:D121" si="16">E120+F120</f>
        <v>0</v>
      </c>
      <c r="E120" s="2"/>
      <c r="F120" s="4"/>
      <c r="H120" s="71" t="s">
        <v>230</v>
      </c>
      <c r="I120" s="71" t="s">
        <v>231</v>
      </c>
      <c r="J120" s="71" t="s">
        <v>232</v>
      </c>
    </row>
    <row r="121" spans="1:10" ht="18.75" x14ac:dyDescent="0.25">
      <c r="A121" s="54" t="s">
        <v>7</v>
      </c>
      <c r="B121" s="58" t="s">
        <v>5</v>
      </c>
      <c r="C121" s="58">
        <v>900</v>
      </c>
      <c r="D121" s="5">
        <f t="shared" si="16"/>
        <v>530000</v>
      </c>
      <c r="E121" s="2">
        <f>E124+E154+E169+E199</f>
        <v>530000</v>
      </c>
      <c r="F121" s="2">
        <f>F124+F154</f>
        <v>0</v>
      </c>
      <c r="H121" s="72">
        <f>E22+E23+E24+E26+E32+E50+E51+E52+E60+E63+E64+E66+E70+E71+E72+E73+E74+E75+E78+E79+E80+E82+E87</f>
        <v>0</v>
      </c>
      <c r="I121" s="72">
        <f>H121+D121</f>
        <v>530000</v>
      </c>
      <c r="J121" s="72">
        <f>I121-E16</f>
        <v>0</v>
      </c>
    </row>
    <row r="122" spans="1:10" ht="18.75" x14ac:dyDescent="0.25">
      <c r="A122" s="54" t="s">
        <v>6</v>
      </c>
      <c r="B122" s="58"/>
      <c r="C122" s="58"/>
      <c r="D122" s="5"/>
      <c r="E122" s="2"/>
      <c r="F122" s="4"/>
    </row>
    <row r="123" spans="1:10" ht="17.45" customHeight="1" x14ac:dyDescent="0.25">
      <c r="A123" s="229" t="s">
        <v>200</v>
      </c>
      <c r="B123" s="230"/>
      <c r="C123" s="230"/>
      <c r="D123" s="230"/>
      <c r="E123" s="230"/>
      <c r="F123" s="231"/>
    </row>
    <row r="124" spans="1:10" ht="18.75" x14ac:dyDescent="0.25">
      <c r="A124" s="54" t="s">
        <v>8</v>
      </c>
      <c r="B124" s="58" t="s">
        <v>5</v>
      </c>
      <c r="C124" s="58">
        <v>200</v>
      </c>
      <c r="D124" s="5">
        <f t="shared" ref="D124:D158" si="17">E124+F124</f>
        <v>0</v>
      </c>
      <c r="E124" s="2">
        <f>E126+E129+E150</f>
        <v>0</v>
      </c>
      <c r="F124" s="2">
        <f>F126+F129+F150</f>
        <v>0</v>
      </c>
    </row>
    <row r="125" spans="1:10" ht="18.75" x14ac:dyDescent="0.25">
      <c r="A125" s="54" t="s">
        <v>9</v>
      </c>
      <c r="B125" s="58"/>
      <c r="C125" s="58"/>
      <c r="D125" s="5"/>
      <c r="E125" s="2"/>
      <c r="F125" s="2"/>
    </row>
    <row r="126" spans="1:10" ht="75" x14ac:dyDescent="0.25">
      <c r="A126" s="54" t="s">
        <v>10</v>
      </c>
      <c r="B126" s="58" t="s">
        <v>5</v>
      </c>
      <c r="C126" s="58">
        <v>210</v>
      </c>
      <c r="D126" s="5">
        <f t="shared" si="17"/>
        <v>0</v>
      </c>
      <c r="E126" s="2">
        <f>E128</f>
        <v>0</v>
      </c>
      <c r="F126" s="2">
        <f>F128</f>
        <v>0</v>
      </c>
    </row>
    <row r="127" spans="1:10" ht="18.75" x14ac:dyDescent="0.25">
      <c r="A127" s="54" t="s">
        <v>9</v>
      </c>
      <c r="B127" s="58"/>
      <c r="C127" s="58"/>
      <c r="D127" s="5"/>
      <c r="E127" s="2"/>
      <c r="F127" s="2"/>
    </row>
    <row r="128" spans="1:10" ht="93.75" x14ac:dyDescent="0.25">
      <c r="A128" s="54" t="s">
        <v>201</v>
      </c>
      <c r="B128" s="58">
        <v>244</v>
      </c>
      <c r="C128" s="58">
        <v>214</v>
      </c>
      <c r="D128" s="5">
        <f>E128+F128</f>
        <v>0</v>
      </c>
      <c r="E128" s="2"/>
      <c r="F128" s="2"/>
    </row>
    <row r="129" spans="1:6" ht="37.5" x14ac:dyDescent="0.25">
      <c r="A129" s="54" t="s">
        <v>14</v>
      </c>
      <c r="B129" s="58" t="s">
        <v>5</v>
      </c>
      <c r="C129" s="58">
        <v>220</v>
      </c>
      <c r="D129" s="5">
        <f t="shared" si="17"/>
        <v>0</v>
      </c>
      <c r="E129" s="2">
        <f>E131+E132+E133+E141+E142+E145+E148</f>
        <v>0</v>
      </c>
      <c r="F129" s="2">
        <f>F131+F132+F133+F141+F142+F145+F148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18.75" x14ac:dyDescent="0.25">
      <c r="A131" s="54" t="s">
        <v>15</v>
      </c>
      <c r="B131" s="58">
        <v>244</v>
      </c>
      <c r="C131" s="58">
        <v>221</v>
      </c>
      <c r="D131" s="5">
        <f t="shared" si="17"/>
        <v>0</v>
      </c>
      <c r="E131" s="2"/>
      <c r="F131" s="2"/>
    </row>
    <row r="132" spans="1:6" ht="37.5" x14ac:dyDescent="0.25">
      <c r="A132" s="54" t="s">
        <v>16</v>
      </c>
      <c r="B132" s="58">
        <v>244</v>
      </c>
      <c r="C132" s="58">
        <v>222</v>
      </c>
      <c r="D132" s="5">
        <f t="shared" si="17"/>
        <v>0</v>
      </c>
      <c r="E132" s="2"/>
      <c r="F132" s="2"/>
    </row>
    <row r="133" spans="1:6" ht="37.5" x14ac:dyDescent="0.25">
      <c r="A133" s="54" t="s">
        <v>17</v>
      </c>
      <c r="B133" s="58" t="s">
        <v>5</v>
      </c>
      <c r="C133" s="58">
        <v>223</v>
      </c>
      <c r="D133" s="5">
        <f t="shared" si="17"/>
        <v>0</v>
      </c>
      <c r="E133" s="2">
        <f t="shared" ref="E133:F133" si="18">E135+E136+E137+E138+E139</f>
        <v>0</v>
      </c>
      <c r="F133" s="2">
        <f t="shared" si="18"/>
        <v>0</v>
      </c>
    </row>
    <row r="134" spans="1:6" ht="18.75" x14ac:dyDescent="0.25">
      <c r="A134" s="54" t="s">
        <v>6</v>
      </c>
      <c r="B134" s="58"/>
      <c r="C134" s="58"/>
      <c r="D134" s="5"/>
      <c r="E134" s="2"/>
      <c r="F134" s="2"/>
    </row>
    <row r="135" spans="1:6" ht="56.25" x14ac:dyDescent="0.25">
      <c r="A135" s="54" t="s">
        <v>18</v>
      </c>
      <c r="B135" s="58">
        <v>244</v>
      </c>
      <c r="C135" s="58">
        <v>223</v>
      </c>
      <c r="D135" s="5">
        <f t="shared" si="17"/>
        <v>0</v>
      </c>
      <c r="E135" s="2"/>
      <c r="F135" s="2"/>
    </row>
    <row r="136" spans="1:6" ht="37.5" x14ac:dyDescent="0.25">
      <c r="A136" s="54" t="s">
        <v>19</v>
      </c>
      <c r="B136" s="58">
        <v>244</v>
      </c>
      <c r="C136" s="58">
        <v>223</v>
      </c>
      <c r="D136" s="5">
        <f t="shared" si="17"/>
        <v>0</v>
      </c>
      <c r="E136" s="2"/>
      <c r="F136" s="2"/>
    </row>
    <row r="137" spans="1:6" ht="75" x14ac:dyDescent="0.25">
      <c r="A137" s="54" t="s">
        <v>20</v>
      </c>
      <c r="B137" s="58">
        <v>244</v>
      </c>
      <c r="C137" s="58">
        <v>223</v>
      </c>
      <c r="D137" s="5">
        <f t="shared" si="17"/>
        <v>0</v>
      </c>
      <c r="E137" s="2"/>
      <c r="F137" s="2"/>
    </row>
    <row r="138" spans="1:6" ht="75" x14ac:dyDescent="0.25">
      <c r="A138" s="54" t="s">
        <v>21</v>
      </c>
      <c r="B138" s="58">
        <v>244</v>
      </c>
      <c r="C138" s="58">
        <v>223</v>
      </c>
      <c r="D138" s="5">
        <f t="shared" si="17"/>
        <v>0</v>
      </c>
      <c r="E138" s="2"/>
      <c r="F138" s="2"/>
    </row>
    <row r="139" spans="1:6" ht="56.25" x14ac:dyDescent="0.25">
      <c r="A139" s="54" t="s">
        <v>22</v>
      </c>
      <c r="B139" s="58">
        <v>244</v>
      </c>
      <c r="C139" s="58">
        <v>223</v>
      </c>
      <c r="D139" s="5">
        <f t="shared" si="17"/>
        <v>0</v>
      </c>
      <c r="E139" s="2"/>
      <c r="F139" s="2"/>
    </row>
    <row r="140" spans="1:6" ht="56.25" x14ac:dyDescent="0.25">
      <c r="A140" s="194" t="s">
        <v>436</v>
      </c>
      <c r="B140" s="195">
        <v>244</v>
      </c>
      <c r="C140" s="195">
        <v>223</v>
      </c>
      <c r="D140" s="5">
        <f t="shared" ref="D140" si="19">E140+F140</f>
        <v>0</v>
      </c>
      <c r="E140" s="2"/>
      <c r="F140" s="2"/>
    </row>
    <row r="141" spans="1:6" ht="168.75" x14ac:dyDescent="0.25">
      <c r="A141" s="54" t="s">
        <v>23</v>
      </c>
      <c r="B141" s="58">
        <v>244</v>
      </c>
      <c r="C141" s="58">
        <v>224</v>
      </c>
      <c r="D141" s="5">
        <f t="shared" si="17"/>
        <v>0</v>
      </c>
      <c r="E141" s="2"/>
      <c r="F141" s="2"/>
    </row>
    <row r="142" spans="1:6" ht="56.25" x14ac:dyDescent="0.25">
      <c r="A142" s="54" t="s">
        <v>24</v>
      </c>
      <c r="B142" s="58" t="s">
        <v>5</v>
      </c>
      <c r="C142" s="58">
        <v>225</v>
      </c>
      <c r="D142" s="2">
        <f t="shared" ref="D142:F142" si="20">D143+D144</f>
        <v>0</v>
      </c>
      <c r="E142" s="2">
        <f>E143+E144</f>
        <v>0</v>
      </c>
      <c r="F142" s="2">
        <f t="shared" si="20"/>
        <v>0</v>
      </c>
    </row>
    <row r="143" spans="1:6" ht="18.75" x14ac:dyDescent="0.25">
      <c r="A143" s="224" t="s">
        <v>6</v>
      </c>
      <c r="B143" s="58">
        <v>243</v>
      </c>
      <c r="C143" s="58">
        <v>225</v>
      </c>
      <c r="D143" s="5">
        <f t="shared" si="17"/>
        <v>0</v>
      </c>
      <c r="E143" s="2"/>
      <c r="F143" s="2"/>
    </row>
    <row r="144" spans="1:6" ht="18.75" x14ac:dyDescent="0.25">
      <c r="A144" s="224"/>
      <c r="B144" s="58">
        <v>244</v>
      </c>
      <c r="C144" s="58">
        <v>225</v>
      </c>
      <c r="D144" s="5">
        <f t="shared" si="17"/>
        <v>0</v>
      </c>
      <c r="E144" s="2"/>
      <c r="F144" s="2"/>
    </row>
    <row r="145" spans="1:6" ht="37.5" x14ac:dyDescent="0.25">
      <c r="A145" s="54" t="s">
        <v>58</v>
      </c>
      <c r="B145" s="58" t="s">
        <v>5</v>
      </c>
      <c r="C145" s="58">
        <v>226</v>
      </c>
      <c r="D145" s="5">
        <f t="shared" si="17"/>
        <v>0</v>
      </c>
      <c r="E145" s="2">
        <f>E146+E147</f>
        <v>0</v>
      </c>
      <c r="F145" s="2">
        <f>F146+F147</f>
        <v>0</v>
      </c>
    </row>
    <row r="146" spans="1:6" ht="18.75" x14ac:dyDescent="0.25">
      <c r="A146" s="224" t="s">
        <v>6</v>
      </c>
      <c r="B146" s="58">
        <v>243</v>
      </c>
      <c r="C146" s="58">
        <v>226</v>
      </c>
      <c r="D146" s="5">
        <f t="shared" si="17"/>
        <v>0</v>
      </c>
      <c r="E146" s="2"/>
      <c r="F146" s="2"/>
    </row>
    <row r="147" spans="1:6" ht="18.75" x14ac:dyDescent="0.25">
      <c r="A147" s="224"/>
      <c r="B147" s="58">
        <v>244</v>
      </c>
      <c r="C147" s="58">
        <v>226</v>
      </c>
      <c r="D147" s="5">
        <f t="shared" si="17"/>
        <v>0</v>
      </c>
      <c r="E147" s="2"/>
      <c r="F147" s="2"/>
    </row>
    <row r="148" spans="1:6" ht="18.75" x14ac:dyDescent="0.25">
      <c r="A148" s="54" t="s">
        <v>25</v>
      </c>
      <c r="B148" s="58">
        <v>244</v>
      </c>
      <c r="C148" s="58">
        <v>227</v>
      </c>
      <c r="D148" s="5">
        <f>E148+F148</f>
        <v>0</v>
      </c>
      <c r="E148" s="2"/>
      <c r="F148" s="2"/>
    </row>
    <row r="149" spans="1:6" ht="56.25" x14ac:dyDescent="0.25">
      <c r="A149" s="170" t="s">
        <v>340</v>
      </c>
      <c r="B149" s="171">
        <v>244</v>
      </c>
      <c r="C149" s="171">
        <v>228</v>
      </c>
      <c r="D149" s="5">
        <f>E149+F149</f>
        <v>0</v>
      </c>
      <c r="E149" s="2"/>
      <c r="F149" s="2"/>
    </row>
    <row r="150" spans="1:6" ht="18.75" x14ac:dyDescent="0.25">
      <c r="A150" s="54" t="s">
        <v>30</v>
      </c>
      <c r="B150" s="58" t="s">
        <v>5</v>
      </c>
      <c r="C150" s="58">
        <v>290</v>
      </c>
      <c r="D150" s="5">
        <f t="shared" si="17"/>
        <v>0</v>
      </c>
      <c r="E150" s="2">
        <f>E152+E153</f>
        <v>0</v>
      </c>
      <c r="F150" s="2">
        <f>F152+F153</f>
        <v>0</v>
      </c>
    </row>
    <row r="151" spans="1:6" ht="18.75" x14ac:dyDescent="0.25">
      <c r="A151" s="54" t="s">
        <v>9</v>
      </c>
      <c r="B151" s="58"/>
      <c r="C151" s="58"/>
      <c r="D151" s="5">
        <f t="shared" si="17"/>
        <v>0</v>
      </c>
      <c r="E151" s="2"/>
      <c r="F151" s="2"/>
    </row>
    <row r="152" spans="1:6" ht="56.25" x14ac:dyDescent="0.25">
      <c r="A152" s="54" t="s">
        <v>34</v>
      </c>
      <c r="B152" s="58">
        <v>244</v>
      </c>
      <c r="C152" s="58">
        <v>296</v>
      </c>
      <c r="D152" s="5">
        <f t="shared" si="17"/>
        <v>0</v>
      </c>
      <c r="E152" s="2"/>
      <c r="F152" s="2"/>
    </row>
    <row r="153" spans="1:6" ht="56.25" x14ac:dyDescent="0.25">
      <c r="A153" s="54" t="s">
        <v>35</v>
      </c>
      <c r="B153" s="58">
        <v>244</v>
      </c>
      <c r="C153" s="58">
        <v>297</v>
      </c>
      <c r="D153" s="5">
        <f t="shared" si="17"/>
        <v>0</v>
      </c>
      <c r="E153" s="2"/>
      <c r="F153" s="2"/>
    </row>
    <row r="154" spans="1:6" ht="56.25" x14ac:dyDescent="0.25">
      <c r="A154" s="54" t="s">
        <v>59</v>
      </c>
      <c r="B154" s="58" t="s">
        <v>5</v>
      </c>
      <c r="C154" s="58">
        <v>300</v>
      </c>
      <c r="D154" s="5">
        <f t="shared" si="17"/>
        <v>0</v>
      </c>
      <c r="E154" s="2">
        <f>E156+E158+E157</f>
        <v>0</v>
      </c>
      <c r="F154" s="2">
        <f>F156+F158+F157</f>
        <v>0</v>
      </c>
    </row>
    <row r="155" spans="1:6" ht="18.75" x14ac:dyDescent="0.25">
      <c r="A155" s="54" t="s">
        <v>9</v>
      </c>
      <c r="B155" s="58"/>
      <c r="C155" s="58"/>
      <c r="D155" s="5"/>
      <c r="E155" s="2"/>
      <c r="F155" s="2"/>
    </row>
    <row r="156" spans="1:6" ht="56.25" x14ac:dyDescent="0.25">
      <c r="A156" s="54" t="s">
        <v>36</v>
      </c>
      <c r="B156" s="58">
        <v>244</v>
      </c>
      <c r="C156" s="58">
        <v>310</v>
      </c>
      <c r="D156" s="5">
        <f t="shared" si="17"/>
        <v>0</v>
      </c>
      <c r="E156" s="2"/>
      <c r="F156" s="2"/>
    </row>
    <row r="157" spans="1:6" ht="75" x14ac:dyDescent="0.25">
      <c r="A157" s="54" t="s">
        <v>68</v>
      </c>
      <c r="B157" s="58">
        <v>244</v>
      </c>
      <c r="C157" s="58">
        <v>320</v>
      </c>
      <c r="D157" s="5">
        <f t="shared" si="17"/>
        <v>0</v>
      </c>
      <c r="E157" s="2"/>
      <c r="F157" s="2"/>
    </row>
    <row r="158" spans="1:6" ht="75" x14ac:dyDescent="0.25">
      <c r="A158" s="54" t="s">
        <v>60</v>
      </c>
      <c r="B158" s="58" t="s">
        <v>5</v>
      </c>
      <c r="C158" s="58">
        <v>340</v>
      </c>
      <c r="D158" s="5">
        <f t="shared" si="17"/>
        <v>0</v>
      </c>
      <c r="E158" s="2">
        <f>E160+E161+E162+E163+E164+E165+E167</f>
        <v>0</v>
      </c>
      <c r="F158" s="2">
        <f>F160+F161+F162+F163+F164+F165+F167</f>
        <v>0</v>
      </c>
    </row>
    <row r="159" spans="1:6" ht="18.75" x14ac:dyDescent="0.25">
      <c r="A159" s="54" t="s">
        <v>6</v>
      </c>
      <c r="B159" s="58"/>
      <c r="C159" s="58"/>
      <c r="D159" s="5"/>
      <c r="E159" s="2"/>
      <c r="F159" s="2"/>
    </row>
    <row r="160" spans="1:6" ht="131.25" x14ac:dyDescent="0.25">
      <c r="A160" s="54" t="s">
        <v>37</v>
      </c>
      <c r="B160" s="58">
        <v>244</v>
      </c>
      <c r="C160" s="58">
        <v>341</v>
      </c>
      <c r="D160" s="5">
        <f t="shared" ref="D160:D167" si="21">E160+F160</f>
        <v>0</v>
      </c>
      <c r="E160" s="2"/>
      <c r="F160" s="2"/>
    </row>
    <row r="161" spans="1:6" ht="56.25" x14ac:dyDescent="0.25">
      <c r="A161" s="54" t="s">
        <v>38</v>
      </c>
      <c r="B161" s="58">
        <v>244</v>
      </c>
      <c r="C161" s="58">
        <v>342</v>
      </c>
      <c r="D161" s="5">
        <f t="shared" si="21"/>
        <v>0</v>
      </c>
      <c r="E161" s="2"/>
      <c r="F161" s="2"/>
    </row>
    <row r="162" spans="1:6" ht="75" x14ac:dyDescent="0.25">
      <c r="A162" s="54" t="s">
        <v>39</v>
      </c>
      <c r="B162" s="58">
        <v>244</v>
      </c>
      <c r="C162" s="58">
        <v>343</v>
      </c>
      <c r="D162" s="5">
        <f t="shared" si="21"/>
        <v>0</v>
      </c>
      <c r="E162" s="2"/>
      <c r="F162" s="2"/>
    </row>
    <row r="163" spans="1:6" ht="75" x14ac:dyDescent="0.25">
      <c r="A163" s="54" t="s">
        <v>40</v>
      </c>
      <c r="B163" s="58">
        <v>244</v>
      </c>
      <c r="C163" s="58">
        <v>344</v>
      </c>
      <c r="D163" s="5">
        <f t="shared" si="21"/>
        <v>0</v>
      </c>
      <c r="E163" s="2"/>
      <c r="F163" s="2"/>
    </row>
    <row r="164" spans="1:6" ht="56.25" x14ac:dyDescent="0.25">
      <c r="A164" s="54" t="s">
        <v>41</v>
      </c>
      <c r="B164" s="58">
        <v>244</v>
      </c>
      <c r="C164" s="58">
        <v>345</v>
      </c>
      <c r="D164" s="5">
        <f t="shared" si="21"/>
        <v>0</v>
      </c>
      <c r="E164" s="2"/>
      <c r="F164" s="2"/>
    </row>
    <row r="165" spans="1:6" ht="75" x14ac:dyDescent="0.25">
      <c r="A165" s="54" t="s">
        <v>42</v>
      </c>
      <c r="B165" s="58">
        <v>244</v>
      </c>
      <c r="C165" s="58">
        <v>346</v>
      </c>
      <c r="D165" s="5">
        <f t="shared" si="21"/>
        <v>0</v>
      </c>
      <c r="E165" s="2"/>
      <c r="F165" s="2"/>
    </row>
    <row r="166" spans="1:6" ht="112.5" x14ac:dyDescent="0.25">
      <c r="A166" s="170" t="s">
        <v>341</v>
      </c>
      <c r="B166" s="171">
        <v>244</v>
      </c>
      <c r="C166" s="171">
        <v>347</v>
      </c>
      <c r="D166" s="5">
        <f t="shared" si="21"/>
        <v>0</v>
      </c>
      <c r="E166" s="2"/>
      <c r="F166" s="2"/>
    </row>
    <row r="167" spans="1:6" ht="112.5" x14ac:dyDescent="0.25">
      <c r="A167" s="54" t="s">
        <v>43</v>
      </c>
      <c r="B167" s="58">
        <v>244</v>
      </c>
      <c r="C167" s="58">
        <v>349</v>
      </c>
      <c r="D167" s="5">
        <f t="shared" si="21"/>
        <v>0</v>
      </c>
      <c r="E167" s="2"/>
      <c r="F167" s="2"/>
    </row>
    <row r="168" spans="1:6" ht="17.45" customHeight="1" x14ac:dyDescent="0.25">
      <c r="A168" s="229" t="s">
        <v>202</v>
      </c>
      <c r="B168" s="230"/>
      <c r="C168" s="230"/>
      <c r="D168" s="230"/>
      <c r="E168" s="230"/>
      <c r="F168" s="231"/>
    </row>
    <row r="169" spans="1:6" ht="18.75" x14ac:dyDescent="0.25">
      <c r="A169" s="54" t="s">
        <v>8</v>
      </c>
      <c r="B169" s="58" t="s">
        <v>5</v>
      </c>
      <c r="C169" s="58">
        <v>200</v>
      </c>
      <c r="D169" s="5">
        <f t="shared" ref="D169" si="22">E169+F169</f>
        <v>0</v>
      </c>
      <c r="E169" s="2">
        <f>E171+E174+E195</f>
        <v>0</v>
      </c>
      <c r="F169" s="2">
        <f>F171+F174+F195</f>
        <v>0</v>
      </c>
    </row>
    <row r="170" spans="1:6" ht="18.75" x14ac:dyDescent="0.25">
      <c r="A170" s="54" t="s">
        <v>9</v>
      </c>
      <c r="B170" s="58"/>
      <c r="C170" s="58"/>
      <c r="D170" s="5"/>
      <c r="E170" s="2"/>
      <c r="F170" s="2"/>
    </row>
    <row r="171" spans="1:6" ht="75" x14ac:dyDescent="0.25">
      <c r="A171" s="54" t="s">
        <v>10</v>
      </c>
      <c r="B171" s="58" t="s">
        <v>5</v>
      </c>
      <c r="C171" s="58">
        <v>210</v>
      </c>
      <c r="D171" s="5">
        <f t="shared" ref="D171" si="23">E171+F171</f>
        <v>0</v>
      </c>
      <c r="E171" s="2">
        <f>E173</f>
        <v>0</v>
      </c>
      <c r="F171" s="2">
        <f>F173</f>
        <v>0</v>
      </c>
    </row>
    <row r="172" spans="1:6" ht="18.75" x14ac:dyDescent="0.25">
      <c r="A172" s="54" t="s">
        <v>9</v>
      </c>
      <c r="B172" s="58"/>
      <c r="C172" s="58"/>
      <c r="D172" s="5"/>
      <c r="E172" s="2"/>
      <c r="F172" s="2"/>
    </row>
    <row r="173" spans="1:6" ht="93.75" x14ac:dyDescent="0.25">
      <c r="A173" s="54" t="s">
        <v>201</v>
      </c>
      <c r="B173" s="58">
        <v>244</v>
      </c>
      <c r="C173" s="58">
        <v>214</v>
      </c>
      <c r="D173" s="5">
        <f>E173+F173</f>
        <v>0</v>
      </c>
      <c r="E173" s="70">
        <f>E27-E128</f>
        <v>0</v>
      </c>
      <c r="F173" s="2"/>
    </row>
    <row r="174" spans="1:6" ht="37.5" x14ac:dyDescent="0.25">
      <c r="A174" s="54" t="s">
        <v>14</v>
      </c>
      <c r="B174" s="58" t="s">
        <v>5</v>
      </c>
      <c r="C174" s="58">
        <v>220</v>
      </c>
      <c r="D174" s="5">
        <f t="shared" ref="D174" si="24">E174+F174</f>
        <v>0</v>
      </c>
      <c r="E174" s="2">
        <f>E176+E177+E178+E186+E187+E190+E193+E194</f>
        <v>0</v>
      </c>
      <c r="F174" s="2">
        <f>F176+F177+F178+F186+F187+F190+F193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18.75" x14ac:dyDescent="0.25">
      <c r="A176" s="54" t="s">
        <v>15</v>
      </c>
      <c r="B176" s="58">
        <v>244</v>
      </c>
      <c r="C176" s="58">
        <v>221</v>
      </c>
      <c r="D176" s="5">
        <f t="shared" ref="D176:D178" si="25">E176+F176</f>
        <v>0</v>
      </c>
      <c r="E176" s="2">
        <f>E30-E131</f>
        <v>0</v>
      </c>
      <c r="F176" s="2"/>
    </row>
    <row r="177" spans="1:6" ht="37.5" x14ac:dyDescent="0.25">
      <c r="A177" s="54" t="s">
        <v>16</v>
      </c>
      <c r="B177" s="58">
        <v>244</v>
      </c>
      <c r="C177" s="58">
        <v>222</v>
      </c>
      <c r="D177" s="5">
        <f t="shared" si="25"/>
        <v>0</v>
      </c>
      <c r="E177" s="70">
        <f>E33-E132</f>
        <v>0</v>
      </c>
      <c r="F177" s="2"/>
    </row>
    <row r="178" spans="1:6" ht="37.5" x14ac:dyDescent="0.25">
      <c r="A178" s="54" t="s">
        <v>17</v>
      </c>
      <c r="B178" s="58" t="s">
        <v>5</v>
      </c>
      <c r="C178" s="58">
        <v>223</v>
      </c>
      <c r="D178" s="5">
        <f t="shared" si="25"/>
        <v>0</v>
      </c>
      <c r="E178" s="2">
        <f t="shared" ref="E178:F178" si="26">E180+E181+E182+E183+E184</f>
        <v>0</v>
      </c>
      <c r="F178" s="2">
        <f t="shared" si="26"/>
        <v>0</v>
      </c>
    </row>
    <row r="179" spans="1:6" ht="18.75" x14ac:dyDescent="0.25">
      <c r="A179" s="54" t="s">
        <v>6</v>
      </c>
      <c r="B179" s="58"/>
      <c r="C179" s="58"/>
      <c r="D179" s="5"/>
      <c r="E179" s="2"/>
      <c r="F179" s="2"/>
    </row>
    <row r="180" spans="1:6" ht="56.25" x14ac:dyDescent="0.25">
      <c r="A180" s="54" t="s">
        <v>18</v>
      </c>
      <c r="B180" s="58">
        <v>244</v>
      </c>
      <c r="C180" s="58">
        <v>223</v>
      </c>
      <c r="D180" s="5">
        <f t="shared" ref="D180:D186" si="27">E180+F180</f>
        <v>0</v>
      </c>
      <c r="E180" s="2">
        <f>E37-E135</f>
        <v>0</v>
      </c>
      <c r="F180" s="2"/>
    </row>
    <row r="181" spans="1:6" ht="37.5" x14ac:dyDescent="0.25">
      <c r="A181" s="54" t="s">
        <v>19</v>
      </c>
      <c r="B181" s="58">
        <v>244</v>
      </c>
      <c r="C181" s="58">
        <v>223</v>
      </c>
      <c r="D181" s="5">
        <f t="shared" si="27"/>
        <v>0</v>
      </c>
      <c r="E181" s="2">
        <f>E39-E136</f>
        <v>0</v>
      </c>
      <c r="F181" s="2"/>
    </row>
    <row r="182" spans="1:6" ht="75" x14ac:dyDescent="0.25">
      <c r="A182" s="54" t="s">
        <v>20</v>
      </c>
      <c r="B182" s="58">
        <v>244</v>
      </c>
      <c r="C182" s="58">
        <v>223</v>
      </c>
      <c r="D182" s="5">
        <f t="shared" si="27"/>
        <v>0</v>
      </c>
      <c r="E182" s="2">
        <f>E41-E137</f>
        <v>0</v>
      </c>
      <c r="F182" s="2"/>
    </row>
    <row r="183" spans="1:6" ht="75" x14ac:dyDescent="0.25">
      <c r="A183" s="54" t="s">
        <v>21</v>
      </c>
      <c r="B183" s="58">
        <v>244</v>
      </c>
      <c r="C183" s="58">
        <v>223</v>
      </c>
      <c r="D183" s="5">
        <f t="shared" si="27"/>
        <v>0</v>
      </c>
      <c r="E183" s="2">
        <f>E42-E138</f>
        <v>0</v>
      </c>
      <c r="F183" s="2"/>
    </row>
    <row r="184" spans="1:6" ht="56.25" x14ac:dyDescent="0.25">
      <c r="A184" s="54" t="s">
        <v>22</v>
      </c>
      <c r="B184" s="58">
        <v>244</v>
      </c>
      <c r="C184" s="58">
        <v>223</v>
      </c>
      <c r="D184" s="5">
        <f t="shared" si="27"/>
        <v>0</v>
      </c>
      <c r="E184" s="2">
        <f>E43-E139</f>
        <v>0</v>
      </c>
      <c r="F184" s="2"/>
    </row>
    <row r="185" spans="1:6" ht="56.25" x14ac:dyDescent="0.25">
      <c r="A185" s="194" t="s">
        <v>436</v>
      </c>
      <c r="B185" s="195">
        <v>244</v>
      </c>
      <c r="C185" s="195">
        <v>223</v>
      </c>
      <c r="D185" s="5">
        <f t="shared" ref="D185" si="28">E185+F185</f>
        <v>0</v>
      </c>
      <c r="E185" s="2">
        <f>E44-E140</f>
        <v>0</v>
      </c>
      <c r="F185" s="2"/>
    </row>
    <row r="186" spans="1:6" ht="168.75" x14ac:dyDescent="0.25">
      <c r="A186" s="54" t="s">
        <v>23</v>
      </c>
      <c r="B186" s="58">
        <v>244</v>
      </c>
      <c r="C186" s="58">
        <v>224</v>
      </c>
      <c r="D186" s="5">
        <f t="shared" si="27"/>
        <v>0</v>
      </c>
      <c r="E186" s="2">
        <f>E45-E141</f>
        <v>0</v>
      </c>
      <c r="F186" s="2"/>
    </row>
    <row r="187" spans="1:6" ht="56.25" x14ac:dyDescent="0.25">
      <c r="A187" s="54" t="s">
        <v>24</v>
      </c>
      <c r="B187" s="58" t="s">
        <v>5</v>
      </c>
      <c r="C187" s="58">
        <v>225</v>
      </c>
      <c r="D187" s="2">
        <f t="shared" ref="D187" si="29">D188+D189</f>
        <v>0</v>
      </c>
      <c r="E187" s="2">
        <f>E188+E189</f>
        <v>0</v>
      </c>
      <c r="F187" s="2">
        <f t="shared" ref="F187" si="30">F188+F189</f>
        <v>0</v>
      </c>
    </row>
    <row r="188" spans="1:6" ht="18.75" x14ac:dyDescent="0.25">
      <c r="A188" s="224" t="s">
        <v>6</v>
      </c>
      <c r="B188" s="58">
        <v>243</v>
      </c>
      <c r="C188" s="58">
        <v>225</v>
      </c>
      <c r="D188" s="5">
        <f t="shared" ref="D188:D199" si="31">E188+F188</f>
        <v>0</v>
      </c>
      <c r="E188" s="2">
        <f>E47-E143</f>
        <v>0</v>
      </c>
      <c r="F188" s="2"/>
    </row>
    <row r="189" spans="1:6" ht="18.75" x14ac:dyDescent="0.25">
      <c r="A189" s="224"/>
      <c r="B189" s="58">
        <v>244</v>
      </c>
      <c r="C189" s="58">
        <v>225</v>
      </c>
      <c r="D189" s="5">
        <f t="shared" si="31"/>
        <v>0</v>
      </c>
      <c r="E189" s="2">
        <f>E48-E144</f>
        <v>0</v>
      </c>
      <c r="F189" s="2"/>
    </row>
    <row r="190" spans="1:6" ht="37.5" x14ac:dyDescent="0.25">
      <c r="A190" s="54" t="s">
        <v>58</v>
      </c>
      <c r="B190" s="58" t="s">
        <v>5</v>
      </c>
      <c r="C190" s="58">
        <v>226</v>
      </c>
      <c r="D190" s="5">
        <f t="shared" si="31"/>
        <v>0</v>
      </c>
      <c r="E190" s="2">
        <f>E191+E192</f>
        <v>0</v>
      </c>
      <c r="F190" s="2">
        <f>F191+F192</f>
        <v>0</v>
      </c>
    </row>
    <row r="191" spans="1:6" ht="18.75" x14ac:dyDescent="0.25">
      <c r="A191" s="224" t="s">
        <v>6</v>
      </c>
      <c r="B191" s="58">
        <v>243</v>
      </c>
      <c r="C191" s="58">
        <v>226</v>
      </c>
      <c r="D191" s="5">
        <f t="shared" si="31"/>
        <v>0</v>
      </c>
      <c r="E191" s="2">
        <f>E53-E146</f>
        <v>0</v>
      </c>
      <c r="F191" s="2"/>
    </row>
    <row r="192" spans="1:6" ht="18.75" x14ac:dyDescent="0.25">
      <c r="A192" s="224"/>
      <c r="B192" s="58">
        <v>244</v>
      </c>
      <c r="C192" s="58">
        <v>226</v>
      </c>
      <c r="D192" s="5">
        <f t="shared" si="31"/>
        <v>0</v>
      </c>
      <c r="E192" s="2">
        <f>E54-E147</f>
        <v>0</v>
      </c>
      <c r="F192" s="2"/>
    </row>
    <row r="193" spans="1:6" ht="18.75" x14ac:dyDescent="0.25">
      <c r="A193" s="54" t="s">
        <v>25</v>
      </c>
      <c r="B193" s="58">
        <v>244</v>
      </c>
      <c r="C193" s="58">
        <v>227</v>
      </c>
      <c r="D193" s="5">
        <f t="shared" si="31"/>
        <v>0</v>
      </c>
      <c r="E193" s="2">
        <f>E56-E148</f>
        <v>0</v>
      </c>
      <c r="F193" s="2"/>
    </row>
    <row r="194" spans="1:6" ht="56.25" x14ac:dyDescent="0.25">
      <c r="A194" s="170" t="s">
        <v>340</v>
      </c>
      <c r="B194" s="171">
        <v>244</v>
      </c>
      <c r="C194" s="171">
        <v>228</v>
      </c>
      <c r="D194" s="5">
        <f t="shared" si="31"/>
        <v>0</v>
      </c>
      <c r="E194" s="2">
        <f>E57-E149</f>
        <v>0</v>
      </c>
      <c r="F194" s="2"/>
    </row>
    <row r="195" spans="1:6" ht="18.75" x14ac:dyDescent="0.25">
      <c r="A195" s="54" t="s">
        <v>30</v>
      </c>
      <c r="B195" s="58" t="s">
        <v>5</v>
      </c>
      <c r="C195" s="58">
        <v>290</v>
      </c>
      <c r="D195" s="5">
        <f t="shared" si="31"/>
        <v>0</v>
      </c>
      <c r="E195" s="2">
        <f>E197+E198</f>
        <v>0</v>
      </c>
      <c r="F195" s="2">
        <f>F197+F198</f>
        <v>0</v>
      </c>
    </row>
    <row r="196" spans="1:6" ht="18.75" x14ac:dyDescent="0.25">
      <c r="A196" s="54" t="s">
        <v>9</v>
      </c>
      <c r="B196" s="58"/>
      <c r="C196" s="58"/>
      <c r="D196" s="5">
        <f t="shared" si="31"/>
        <v>0</v>
      </c>
      <c r="E196" s="2"/>
      <c r="F196" s="2"/>
    </row>
    <row r="197" spans="1:6" ht="56.25" x14ac:dyDescent="0.25">
      <c r="A197" s="54" t="s">
        <v>34</v>
      </c>
      <c r="B197" s="58">
        <v>244</v>
      </c>
      <c r="C197" s="58">
        <v>296</v>
      </c>
      <c r="D197" s="5">
        <f t="shared" si="31"/>
        <v>0</v>
      </c>
      <c r="E197" s="2">
        <f>E77-E152</f>
        <v>0</v>
      </c>
      <c r="F197" s="2"/>
    </row>
    <row r="198" spans="1:6" ht="56.25" x14ac:dyDescent="0.25">
      <c r="A198" s="54" t="s">
        <v>35</v>
      </c>
      <c r="B198" s="58">
        <v>244</v>
      </c>
      <c r="C198" s="58">
        <v>297</v>
      </c>
      <c r="D198" s="5">
        <f t="shared" si="31"/>
        <v>0</v>
      </c>
      <c r="E198" s="2">
        <f>E84-E153</f>
        <v>0</v>
      </c>
      <c r="F198" s="2"/>
    </row>
    <row r="199" spans="1:6" ht="56.25" x14ac:dyDescent="0.25">
      <c r="A199" s="54" t="s">
        <v>59</v>
      </c>
      <c r="B199" s="58" t="s">
        <v>5</v>
      </c>
      <c r="C199" s="58">
        <v>300</v>
      </c>
      <c r="D199" s="5">
        <f t="shared" si="31"/>
        <v>530000</v>
      </c>
      <c r="E199" s="2">
        <f>E201+E203+E202</f>
        <v>530000</v>
      </c>
      <c r="F199" s="2">
        <f>F201+F203+F202</f>
        <v>0</v>
      </c>
    </row>
    <row r="200" spans="1:6" ht="18.75" x14ac:dyDescent="0.25">
      <c r="A200" s="54" t="s">
        <v>9</v>
      </c>
      <c r="B200" s="58"/>
      <c r="C200" s="58"/>
      <c r="D200" s="5"/>
      <c r="E200" s="2"/>
      <c r="F200" s="2"/>
    </row>
    <row r="201" spans="1:6" ht="56.25" x14ac:dyDescent="0.25">
      <c r="A201" s="54" t="s">
        <v>36</v>
      </c>
      <c r="B201" s="58">
        <v>244</v>
      </c>
      <c r="C201" s="58">
        <v>310</v>
      </c>
      <c r="D201" s="5">
        <f t="shared" ref="D201:D203" si="32">E201+F201</f>
        <v>0</v>
      </c>
      <c r="E201" s="2">
        <f>E90-E156</f>
        <v>0</v>
      </c>
      <c r="F201" s="2"/>
    </row>
    <row r="202" spans="1:6" ht="75" x14ac:dyDescent="0.25">
      <c r="A202" s="54" t="s">
        <v>68</v>
      </c>
      <c r="B202" s="58">
        <v>244</v>
      </c>
      <c r="C202" s="58">
        <v>320</v>
      </c>
      <c r="D202" s="5">
        <f t="shared" si="32"/>
        <v>530000</v>
      </c>
      <c r="E202" s="2">
        <f>E91-E157</f>
        <v>530000</v>
      </c>
      <c r="F202" s="2"/>
    </row>
    <row r="203" spans="1:6" ht="75" x14ac:dyDescent="0.25">
      <c r="A203" s="54" t="s">
        <v>60</v>
      </c>
      <c r="B203" s="58" t="s">
        <v>5</v>
      </c>
      <c r="C203" s="58">
        <v>340</v>
      </c>
      <c r="D203" s="5">
        <f t="shared" si="32"/>
        <v>0</v>
      </c>
      <c r="E203" s="2">
        <f>E205+E206+E207+E208+E209+E210+E212</f>
        <v>0</v>
      </c>
      <c r="F203" s="2">
        <f>F205+F206+F207+F208+F209+F210+F212</f>
        <v>0</v>
      </c>
    </row>
    <row r="204" spans="1:6" ht="18.75" x14ac:dyDescent="0.25">
      <c r="A204" s="54" t="s">
        <v>6</v>
      </c>
      <c r="B204" s="58"/>
      <c r="C204" s="58"/>
      <c r="D204" s="5"/>
      <c r="E204" s="2"/>
      <c r="F204" s="2"/>
    </row>
    <row r="205" spans="1:6" ht="131.25" x14ac:dyDescent="0.25">
      <c r="A205" s="54" t="s">
        <v>37</v>
      </c>
      <c r="B205" s="58">
        <v>244</v>
      </c>
      <c r="C205" s="58">
        <v>341</v>
      </c>
      <c r="D205" s="5">
        <f t="shared" ref="D205:D212" si="33">E205+F205</f>
        <v>0</v>
      </c>
      <c r="E205" s="2">
        <f t="shared" ref="E205:E211" si="34">E94-E160</f>
        <v>0</v>
      </c>
      <c r="F205" s="2"/>
    </row>
    <row r="206" spans="1:6" ht="56.25" x14ac:dyDescent="0.25">
      <c r="A206" s="54" t="s">
        <v>38</v>
      </c>
      <c r="B206" s="58">
        <v>244</v>
      </c>
      <c r="C206" s="58">
        <v>342</v>
      </c>
      <c r="D206" s="5">
        <f t="shared" si="33"/>
        <v>0</v>
      </c>
      <c r="E206" s="2">
        <f t="shared" si="34"/>
        <v>0</v>
      </c>
      <c r="F206" s="2"/>
    </row>
    <row r="207" spans="1:6" ht="75" x14ac:dyDescent="0.25">
      <c r="A207" s="54" t="s">
        <v>39</v>
      </c>
      <c r="B207" s="58">
        <v>244</v>
      </c>
      <c r="C207" s="58">
        <v>343</v>
      </c>
      <c r="D207" s="5">
        <f t="shared" si="33"/>
        <v>0</v>
      </c>
      <c r="E207" s="2">
        <f t="shared" si="34"/>
        <v>0</v>
      </c>
      <c r="F207" s="2"/>
    </row>
    <row r="208" spans="1:6" ht="75" x14ac:dyDescent="0.25">
      <c r="A208" s="54" t="s">
        <v>40</v>
      </c>
      <c r="B208" s="58">
        <v>244</v>
      </c>
      <c r="C208" s="58">
        <v>344</v>
      </c>
      <c r="D208" s="5">
        <f t="shared" si="33"/>
        <v>0</v>
      </c>
      <c r="E208" s="2">
        <f t="shared" si="34"/>
        <v>0</v>
      </c>
      <c r="F208" s="2"/>
    </row>
    <row r="209" spans="1:6" ht="56.25" x14ac:dyDescent="0.25">
      <c r="A209" s="54" t="s">
        <v>41</v>
      </c>
      <c r="B209" s="58">
        <v>244</v>
      </c>
      <c r="C209" s="58">
        <v>345</v>
      </c>
      <c r="D209" s="5">
        <f t="shared" si="33"/>
        <v>0</v>
      </c>
      <c r="E209" s="2">
        <f t="shared" si="34"/>
        <v>0</v>
      </c>
      <c r="F209" s="2"/>
    </row>
    <row r="210" spans="1:6" ht="75" x14ac:dyDescent="0.25">
      <c r="A210" s="54" t="s">
        <v>42</v>
      </c>
      <c r="B210" s="58">
        <v>244</v>
      </c>
      <c r="C210" s="58">
        <v>346</v>
      </c>
      <c r="D210" s="5">
        <f t="shared" si="33"/>
        <v>0</v>
      </c>
      <c r="E210" s="2">
        <f t="shared" si="34"/>
        <v>0</v>
      </c>
      <c r="F210" s="2"/>
    </row>
    <row r="211" spans="1:6" ht="112.5" x14ac:dyDescent="0.25">
      <c r="A211" s="170" t="s">
        <v>341</v>
      </c>
      <c r="B211" s="171">
        <v>244</v>
      </c>
      <c r="C211" s="171">
        <v>347</v>
      </c>
      <c r="D211" s="5">
        <f t="shared" ref="D211" si="35">E211+F211</f>
        <v>0</v>
      </c>
      <c r="E211" s="2">
        <f t="shared" si="34"/>
        <v>0</v>
      </c>
      <c r="F211" s="2"/>
    </row>
    <row r="212" spans="1:6" ht="112.5" x14ac:dyDescent="0.25">
      <c r="A212" s="54" t="s">
        <v>43</v>
      </c>
      <c r="B212" s="58">
        <v>244</v>
      </c>
      <c r="C212" s="58">
        <v>349</v>
      </c>
      <c r="D212" s="5">
        <f t="shared" si="33"/>
        <v>0</v>
      </c>
      <c r="E212" s="2">
        <f t="shared" ref="E212" si="36">E101-E167</f>
        <v>0</v>
      </c>
      <c r="F212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3:C113"/>
    <mergeCell ref="E113:F113"/>
    <mergeCell ref="A70:A72"/>
    <mergeCell ref="A77:A82"/>
    <mergeCell ref="A84:A87"/>
    <mergeCell ref="B109:C109"/>
    <mergeCell ref="E109:F109"/>
    <mergeCell ref="B112:C112"/>
    <mergeCell ref="E112:F112"/>
    <mergeCell ref="B110:C110"/>
    <mergeCell ref="E110:F110"/>
    <mergeCell ref="A26:A27"/>
    <mergeCell ref="A32:A33"/>
    <mergeCell ref="A47:A48"/>
    <mergeCell ref="A63:A64"/>
    <mergeCell ref="A50:A55"/>
    <mergeCell ref="B115:C115"/>
    <mergeCell ref="E115:F115"/>
    <mergeCell ref="B116:C116"/>
    <mergeCell ref="E116:F116"/>
    <mergeCell ref="A118:B118"/>
    <mergeCell ref="A188:A189"/>
    <mergeCell ref="A191:A192"/>
    <mergeCell ref="A119:F119"/>
    <mergeCell ref="A123:F123"/>
    <mergeCell ref="A143:A144"/>
    <mergeCell ref="A146:A147"/>
    <mergeCell ref="A168:F168"/>
  </mergeCells>
  <pageMargins left="1.3779527559055118" right="0.39370078740157483" top="0.98425196850393704" bottom="0.78740157480314965" header="0.31496062992125984" footer="0.31496062992125984"/>
  <pageSetup paperSize="9" scale="73" orientation="portrait" r:id="rId1"/>
  <rowBreaks count="2" manualBreakCount="2">
    <brk id="60" max="5" man="1"/>
    <brk id="8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E115" sqref="E11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40" t="s">
        <v>263</v>
      </c>
      <c r="B1" s="240"/>
      <c r="C1" s="240"/>
      <c r="D1" s="240"/>
      <c r="E1" s="240"/>
      <c r="F1" s="240"/>
    </row>
    <row r="2" spans="1:6" ht="18.75" x14ac:dyDescent="0.25">
      <c r="A2" s="240" t="s">
        <v>486</v>
      </c>
      <c r="B2" s="240"/>
      <c r="C2" s="240"/>
      <c r="D2" s="240"/>
      <c r="E2" s="240"/>
      <c r="F2" s="240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32" t="s">
        <v>0</v>
      </c>
      <c r="B5" s="234" t="s">
        <v>45</v>
      </c>
      <c r="C5" s="236" t="s">
        <v>46</v>
      </c>
      <c r="D5" s="234" t="s">
        <v>1</v>
      </c>
      <c r="E5" s="234" t="s">
        <v>197</v>
      </c>
      <c r="F5" s="247"/>
    </row>
    <row r="6" spans="1:6" ht="15.75" x14ac:dyDescent="0.25">
      <c r="A6" s="249"/>
      <c r="B6" s="248"/>
      <c r="C6" s="250"/>
      <c r="D6" s="248"/>
      <c r="E6" s="251" t="s">
        <v>6</v>
      </c>
      <c r="F6" s="252"/>
    </row>
    <row r="7" spans="1:6" ht="221.25" thickBot="1" x14ac:dyDescent="0.3">
      <c r="A7" s="233"/>
      <c r="B7" s="235"/>
      <c r="C7" s="237"/>
      <c r="D7" s="235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530000</v>
      </c>
      <c r="E10" s="2">
        <f>E13+E46+E61+E91</f>
        <v>530000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44" t="s">
        <v>200</v>
      </c>
      <c r="B12" s="245"/>
      <c r="C12" s="245"/>
      <c r="D12" s="245"/>
      <c r="E12" s="245"/>
      <c r="F12" s="246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'!E128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'!E131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'!E132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'!E134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'!E135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'!E135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'!E136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'!E136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'!E137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'!E138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'!E139</f>
        <v>0</v>
      </c>
      <c r="F31" s="4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'!E140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'!E141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4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'!E143</f>
        <v>0</v>
      </c>
      <c r="F35" s="4"/>
    </row>
    <row r="36" spans="1:6" ht="18.75" x14ac:dyDescent="0.25">
      <c r="A36" s="224"/>
      <c r="B36" s="119">
        <v>244</v>
      </c>
      <c r="C36" s="119">
        <v>225</v>
      </c>
      <c r="D36" s="5">
        <f t="shared" si="1"/>
        <v>0</v>
      </c>
      <c r="E36" s="2">
        <f>'иные субсидии 2023 год '!E144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4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'!E146</f>
        <v>0</v>
      </c>
      <c r="F38" s="4"/>
    </row>
    <row r="39" spans="1:6" ht="18.75" x14ac:dyDescent="0.25">
      <c r="A39" s="224"/>
      <c r="B39" s="119">
        <v>244</v>
      </c>
      <c r="C39" s="119">
        <v>226</v>
      </c>
      <c r="D39" s="5">
        <f t="shared" si="1"/>
        <v>0</v>
      </c>
      <c r="E39" s="2">
        <f>'иные субсидии 2023 год '!E147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'!E148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'!E149</f>
        <v>0</v>
      </c>
      <c r="F41" s="4"/>
    </row>
    <row r="42" spans="1:6" ht="150" x14ac:dyDescent="0.25">
      <c r="A42" s="115" t="s">
        <v>490</v>
      </c>
      <c r="B42" s="119">
        <v>244</v>
      </c>
      <c r="C42" s="119">
        <v>229</v>
      </c>
      <c r="D42" s="5">
        <f t="shared" ref="D42" si="8">E42+F42</f>
        <v>0</v>
      </c>
      <c r="E42" s="2">
        <v>0</v>
      </c>
      <c r="F42" s="4"/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'!E152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'!E153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'!E156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'!E157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9">E52+F52</f>
        <v>0</v>
      </c>
      <c r="E52" s="2">
        <f>'иные субсидии 2023 год '!E160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9"/>
        <v>0</v>
      </c>
      <c r="E53" s="2">
        <f>'иные субсидии 2023 год '!E161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9"/>
        <v>0</v>
      </c>
      <c r="E54" s="2">
        <f>'иные субсидии 2023 год '!E162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9"/>
        <v>0</v>
      </c>
      <c r="E55" s="2">
        <f>'иные субсидии 2023 год '!E163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9"/>
        <v>0</v>
      </c>
      <c r="E56" s="2">
        <f>'иные субсидии 2023 год '!E164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9"/>
        <v>0</v>
      </c>
      <c r="E57" s="2">
        <f>'иные субсидии 2023 год '!E165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'!E166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9"/>
        <v>0</v>
      </c>
      <c r="E59" s="2">
        <f>'иные субсидии 2023 год '!E167</f>
        <v>0</v>
      </c>
      <c r="F59" s="4"/>
    </row>
    <row r="60" spans="1:6" ht="32.450000000000003" customHeight="1" x14ac:dyDescent="0.25">
      <c r="A60" s="244" t="s">
        <v>202</v>
      </c>
      <c r="B60" s="245"/>
      <c r="C60" s="245"/>
      <c r="D60" s="245"/>
      <c r="E60" s="245"/>
      <c r="F60" s="246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10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1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'!E173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2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3">E68+F68</f>
        <v>0</v>
      </c>
      <c r="E68" s="2">
        <f>'иные субсидии 2023 год '!E176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3"/>
        <v>0</v>
      </c>
      <c r="E69" s="2">
        <f>'иные субсидии 2023 год '!E177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3"/>
        <v>0</v>
      </c>
      <c r="E70" s="2">
        <f t="shared" ref="E70:F70" si="14">E72+E73+E74+E75+E76</f>
        <v>0</v>
      </c>
      <c r="F70" s="4">
        <f t="shared" si="14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5">E72+F72</f>
        <v>0</v>
      </c>
      <c r="E72" s="2">
        <f>'иные субсидии 2023 год '!E180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5"/>
        <v>0</v>
      </c>
      <c r="E73" s="2">
        <f>'иные субсидии 2023 год '!E181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5"/>
        <v>0</v>
      </c>
      <c r="E74" s="2">
        <f>'иные субсидии 2023 год '!E182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5"/>
        <v>0</v>
      </c>
      <c r="E75" s="2">
        <f>'иные субсидии 2023 год '!E183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5"/>
        <v>0</v>
      </c>
      <c r="E76" s="2">
        <f>'иные субсидии 2023 год '!E184</f>
        <v>0</v>
      </c>
      <c r="F76" s="4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6">E77+F77</f>
        <v>0</v>
      </c>
      <c r="E77" s="2">
        <f>'иные субсидии 2023 год '!E185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5"/>
        <v>0</v>
      </c>
      <c r="E78" s="2">
        <f>'иные субсидии 2023 год '!E186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7">D80+D81</f>
        <v>0</v>
      </c>
      <c r="E79" s="2">
        <f>E80+E81</f>
        <v>0</v>
      </c>
      <c r="F79" s="4">
        <f t="shared" ref="F79" si="18">F80+F81</f>
        <v>0</v>
      </c>
    </row>
    <row r="80" spans="1:6" ht="18.75" x14ac:dyDescent="0.25">
      <c r="A80" s="224" t="s">
        <v>6</v>
      </c>
      <c r="B80" s="119">
        <v>243</v>
      </c>
      <c r="C80" s="119">
        <v>225</v>
      </c>
      <c r="D80" s="5">
        <f t="shared" ref="D80:D91" si="19">E80+F80</f>
        <v>0</v>
      </c>
      <c r="E80" s="2">
        <f>'иные субсидии 2023 год '!E188</f>
        <v>0</v>
      </c>
      <c r="F80" s="4"/>
    </row>
    <row r="81" spans="1:6" ht="18.75" x14ac:dyDescent="0.25">
      <c r="A81" s="224"/>
      <c r="B81" s="119">
        <v>244</v>
      </c>
      <c r="C81" s="119">
        <v>225</v>
      </c>
      <c r="D81" s="5">
        <f t="shared" si="19"/>
        <v>0</v>
      </c>
      <c r="E81" s="2">
        <f>'иные субсидии 2023 год '!E189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9"/>
        <v>0</v>
      </c>
      <c r="E82" s="2">
        <f>E83+E84</f>
        <v>0</v>
      </c>
      <c r="F82" s="4">
        <f>F83+F84</f>
        <v>0</v>
      </c>
    </row>
    <row r="83" spans="1:6" ht="18.75" x14ac:dyDescent="0.25">
      <c r="A83" s="224" t="s">
        <v>6</v>
      </c>
      <c r="B83" s="119">
        <v>243</v>
      </c>
      <c r="C83" s="119">
        <v>226</v>
      </c>
      <c r="D83" s="5">
        <f t="shared" si="19"/>
        <v>0</v>
      </c>
      <c r="E83" s="2">
        <f>'иные субсидии 2023 год '!E191</f>
        <v>0</v>
      </c>
      <c r="F83" s="4"/>
    </row>
    <row r="84" spans="1:6" ht="18.75" x14ac:dyDescent="0.25">
      <c r="A84" s="224"/>
      <c r="B84" s="119">
        <v>244</v>
      </c>
      <c r="C84" s="119">
        <v>226</v>
      </c>
      <c r="D84" s="5">
        <f t="shared" si="19"/>
        <v>0</v>
      </c>
      <c r="E84" s="2">
        <f>'иные субсидии 2023 год '!E192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9"/>
        <v>0</v>
      </c>
      <c r="E85" s="2">
        <f>'иные субсидии 2023 год '!E193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0">E86+F86</f>
        <v>0</v>
      </c>
      <c r="E86" s="2">
        <f>'иные субсидии 2023 год '!E194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9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9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9"/>
        <v>0</v>
      </c>
      <c r="E89" s="2">
        <f>'иные субсидии 2023 год '!E197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9"/>
        <v>0</v>
      </c>
      <c r="E90" s="2">
        <f>'иные субсидии 2023 год '!E198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9"/>
        <v>530000</v>
      </c>
      <c r="E91" s="2">
        <f>E93+E95+E94</f>
        <v>530000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1">E93+F93</f>
        <v>0</v>
      </c>
      <c r="E93" s="2">
        <f>'иные субсидии 2023 год '!E201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1"/>
        <v>530000</v>
      </c>
      <c r="E94" s="2">
        <f>'иные субсидии 2023 год '!E202</f>
        <v>530000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1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2">E97+F97</f>
        <v>0</v>
      </c>
      <c r="E97" s="2">
        <f>'иные субсидии 2023 год '!E205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2"/>
        <v>0</v>
      </c>
      <c r="E98" s="2">
        <f>'иные субсидии 2023 год '!E206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2"/>
        <v>0</v>
      </c>
      <c r="E99" s="2">
        <f>'иные субсидии 2023 год '!E207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2"/>
        <v>0</v>
      </c>
      <c r="E100" s="2">
        <f>'иные субсидии 2023 год '!E208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2"/>
        <v>0</v>
      </c>
      <c r="E101" s="2">
        <f>'иные субсидии 2023 год '!E209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2"/>
        <v>0</v>
      </c>
      <c r="E102" s="2">
        <f>'иные субсидии 2023 год '!E210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'!E211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2"/>
        <v>0</v>
      </c>
      <c r="E104" s="35">
        <f>'иные субсидии 2023 год '!E212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7"/>
      <c r="C107" s="227"/>
      <c r="D107" s="10"/>
      <c r="E107" s="227" t="s">
        <v>478</v>
      </c>
      <c r="F107" s="227"/>
    </row>
    <row r="108" spans="1:6" ht="18.75" x14ac:dyDescent="0.3">
      <c r="A108" s="29"/>
      <c r="B108" s="226" t="s">
        <v>53</v>
      </c>
      <c r="C108" s="226"/>
      <c r="D108" s="10"/>
      <c r="E108" s="226" t="s">
        <v>54</v>
      </c>
      <c r="F108" s="226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7"/>
      <c r="C110" s="227"/>
      <c r="D110" s="10"/>
      <c r="E110" s="227" t="s">
        <v>482</v>
      </c>
      <c r="F110" s="227"/>
    </row>
    <row r="111" spans="1:6" ht="18.75" x14ac:dyDescent="0.3">
      <c r="A111" s="29"/>
      <c r="B111" s="226" t="s">
        <v>53</v>
      </c>
      <c r="C111" s="226"/>
      <c r="D111" s="10"/>
      <c r="E111" s="226" t="s">
        <v>54</v>
      </c>
      <c r="F111" s="226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7"/>
      <c r="C113" s="227"/>
      <c r="D113" s="10"/>
      <c r="E113" s="227" t="s">
        <v>482</v>
      </c>
      <c r="F113" s="227"/>
    </row>
    <row r="114" spans="1:6" ht="18.75" x14ac:dyDescent="0.3">
      <c r="A114" s="29"/>
      <c r="B114" s="226" t="s">
        <v>53</v>
      </c>
      <c r="C114" s="226"/>
      <c r="D114" s="10"/>
      <c r="E114" s="226" t="s">
        <v>54</v>
      </c>
      <c r="F114" s="226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5" t="s">
        <v>44</v>
      </c>
      <c r="B116" s="225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view="pageBreakPreview" topLeftCell="A10" zoomScaleNormal="100" zoomScaleSheetLayoutView="100" workbookViewId="0">
      <selection activeCell="F23" sqref="F23:G23"/>
    </sheetView>
  </sheetViews>
  <sheetFormatPr defaultColWidth="8.85546875" defaultRowHeight="15" x14ac:dyDescent="0.25"/>
  <cols>
    <col min="1" max="1" width="28.285156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23"/>
      <c r="F1" s="323"/>
      <c r="G1" s="323"/>
    </row>
    <row r="2" spans="1:7" ht="40.15" customHeight="1" x14ac:dyDescent="0.25">
      <c r="A2" s="295" t="s">
        <v>491</v>
      </c>
      <c r="B2" s="295"/>
      <c r="C2" s="295"/>
      <c r="D2" s="295"/>
      <c r="E2" s="295"/>
      <c r="F2" s="295"/>
      <c r="G2" s="295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95" t="s">
        <v>492</v>
      </c>
      <c r="B4" s="295"/>
      <c r="C4" s="295"/>
      <c r="D4" s="295"/>
      <c r="E4" s="295"/>
      <c r="F4" s="295"/>
      <c r="G4" s="295"/>
    </row>
    <row r="5" spans="1:7" ht="18.75" x14ac:dyDescent="0.25">
      <c r="A5" s="105"/>
    </row>
    <row r="6" spans="1:7" ht="18.75" x14ac:dyDescent="0.25">
      <c r="A6" s="295" t="s">
        <v>187</v>
      </c>
      <c r="B6" s="295"/>
      <c r="C6" s="295"/>
      <c r="D6" s="295"/>
      <c r="E6" s="295"/>
      <c r="F6" s="295"/>
      <c r="G6" s="295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81" t="s">
        <v>172</v>
      </c>
      <c r="C10" s="281"/>
      <c r="D10" s="281" t="s">
        <v>173</v>
      </c>
      <c r="E10" s="281"/>
      <c r="F10" s="263" t="s">
        <v>171</v>
      </c>
      <c r="G10" s="264"/>
    </row>
    <row r="11" spans="1:7" ht="18.75" x14ac:dyDescent="0.25">
      <c r="A11" s="106">
        <v>1</v>
      </c>
      <c r="B11" s="281">
        <v>2</v>
      </c>
      <c r="C11" s="281"/>
      <c r="D11" s="281">
        <v>3</v>
      </c>
      <c r="E11" s="281"/>
      <c r="F11" s="281">
        <v>4</v>
      </c>
      <c r="G11" s="281"/>
    </row>
    <row r="12" spans="1:7" ht="18.75" x14ac:dyDescent="0.25">
      <c r="A12" s="13" t="s">
        <v>184</v>
      </c>
      <c r="B12" s="281" t="s">
        <v>117</v>
      </c>
      <c r="C12" s="281"/>
      <c r="D12" s="281" t="s">
        <v>117</v>
      </c>
      <c r="E12" s="281"/>
      <c r="F12" s="287">
        <f>'иные субсидии 2023 год '!E12</f>
        <v>530000</v>
      </c>
      <c r="G12" s="287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95" t="s">
        <v>493</v>
      </c>
      <c r="B15" s="295"/>
      <c r="C15" s="295"/>
      <c r="D15" s="295"/>
      <c r="E15" s="295"/>
      <c r="F15" s="295"/>
      <c r="G15" s="295"/>
    </row>
    <row r="16" spans="1:7" ht="18.75" x14ac:dyDescent="0.25">
      <c r="A16" s="8"/>
    </row>
    <row r="17" spans="1:7" ht="36" customHeight="1" x14ac:dyDescent="0.25">
      <c r="A17" s="288" t="s">
        <v>250</v>
      </c>
      <c r="B17" s="288"/>
      <c r="C17" s="288"/>
      <c r="D17" s="288"/>
      <c r="E17" s="288"/>
      <c r="F17" s="288"/>
      <c r="G17" s="288"/>
    </row>
    <row r="18" spans="1:7" ht="18.75" x14ac:dyDescent="0.25">
      <c r="A18" s="9"/>
    </row>
    <row r="19" spans="1:7" ht="18.75" x14ac:dyDescent="0.3">
      <c r="A19" s="9" t="s">
        <v>145</v>
      </c>
      <c r="B19" s="10">
        <v>244</v>
      </c>
    </row>
    <row r="20" spans="1:7" ht="18.75" x14ac:dyDescent="0.25">
      <c r="A20" s="8"/>
    </row>
    <row r="21" spans="1:7" ht="37.9" customHeight="1" x14ac:dyDescent="0.25">
      <c r="A21" s="223" t="s">
        <v>86</v>
      </c>
      <c r="B21" s="281" t="s">
        <v>142</v>
      </c>
      <c r="C21" s="281"/>
      <c r="D21" s="281" t="s">
        <v>143</v>
      </c>
      <c r="E21" s="281"/>
      <c r="F21" s="281" t="s">
        <v>150</v>
      </c>
      <c r="G21" s="281"/>
    </row>
    <row r="22" spans="1:7" ht="18.75" x14ac:dyDescent="0.25">
      <c r="A22" s="223">
        <v>1</v>
      </c>
      <c r="B22" s="263">
        <v>2</v>
      </c>
      <c r="C22" s="264"/>
      <c r="D22" s="263">
        <v>3</v>
      </c>
      <c r="E22" s="264"/>
      <c r="F22" s="263">
        <v>4</v>
      </c>
      <c r="G22" s="264"/>
    </row>
    <row r="23" spans="1:7" ht="150" x14ac:dyDescent="0.25">
      <c r="A23" s="13" t="s">
        <v>494</v>
      </c>
      <c r="B23" s="263">
        <v>1</v>
      </c>
      <c r="C23" s="264"/>
      <c r="D23" s="261">
        <v>530000</v>
      </c>
      <c r="E23" s="262"/>
      <c r="F23" s="261">
        <f>B23*D23</f>
        <v>530000</v>
      </c>
      <c r="G23" s="262"/>
    </row>
    <row r="24" spans="1:7" ht="18.75" x14ac:dyDescent="0.25">
      <c r="A24" s="29"/>
    </row>
    <row r="25" spans="1:7" ht="37.5" x14ac:dyDescent="0.3">
      <c r="A25" s="29" t="s">
        <v>151</v>
      </c>
      <c r="B25" s="10"/>
      <c r="C25" s="227"/>
      <c r="D25" s="227"/>
      <c r="E25" s="10"/>
      <c r="F25" s="227" t="s">
        <v>478</v>
      </c>
      <c r="G25" s="227"/>
    </row>
    <row r="26" spans="1:7" ht="18.75" x14ac:dyDescent="0.3">
      <c r="A26" s="29"/>
      <c r="B26" s="10"/>
      <c r="C26" s="226" t="s">
        <v>53</v>
      </c>
      <c r="D26" s="226"/>
      <c r="E26" s="10"/>
      <c r="F26" s="226" t="s">
        <v>54</v>
      </c>
      <c r="G26" s="226"/>
    </row>
    <row r="27" spans="1:7" ht="18.75" x14ac:dyDescent="0.3">
      <c r="A27" s="29"/>
      <c r="B27" s="10"/>
      <c r="C27" s="222"/>
      <c r="D27" s="222"/>
      <c r="E27" s="10"/>
      <c r="F27" s="222"/>
      <c r="G27" s="222"/>
    </row>
    <row r="28" spans="1:7" ht="37.5" x14ac:dyDescent="0.3">
      <c r="A28" s="29" t="s">
        <v>152</v>
      </c>
      <c r="B28" s="10"/>
      <c r="C28" s="227"/>
      <c r="D28" s="227"/>
      <c r="E28" s="10"/>
      <c r="F28" s="227" t="s">
        <v>482</v>
      </c>
      <c r="G28" s="227"/>
    </row>
    <row r="29" spans="1:7" ht="18.75" x14ac:dyDescent="0.3">
      <c r="A29" s="29"/>
      <c r="B29" s="10"/>
      <c r="C29" s="226" t="s">
        <v>53</v>
      </c>
      <c r="D29" s="226"/>
      <c r="E29" s="10"/>
      <c r="F29" s="226" t="s">
        <v>54</v>
      </c>
      <c r="G29" s="226"/>
    </row>
    <row r="30" spans="1:7" ht="18.75" x14ac:dyDescent="0.3">
      <c r="A30" s="29"/>
      <c r="B30" s="10"/>
      <c r="C30" s="222"/>
      <c r="D30" s="222"/>
      <c r="E30" s="10"/>
      <c r="F30" s="222"/>
      <c r="G30" s="222"/>
    </row>
    <row r="31" spans="1:7" ht="18.75" x14ac:dyDescent="0.3">
      <c r="A31" s="29" t="s">
        <v>153</v>
      </c>
      <c r="B31" s="10"/>
      <c r="C31" s="227"/>
      <c r="D31" s="227"/>
      <c r="E31" s="10"/>
      <c r="F31" s="227" t="s">
        <v>482</v>
      </c>
      <c r="G31" s="227"/>
    </row>
    <row r="32" spans="1:7" ht="18.75" x14ac:dyDescent="0.3">
      <c r="A32" s="29"/>
      <c r="B32" s="10"/>
      <c r="C32" s="226" t="s">
        <v>53</v>
      </c>
      <c r="D32" s="226"/>
      <c r="E32" s="10"/>
      <c r="F32" s="226" t="s">
        <v>54</v>
      </c>
      <c r="G32" s="226"/>
    </row>
    <row r="33" spans="1:7" ht="18.75" x14ac:dyDescent="0.3">
      <c r="A33" s="29" t="s">
        <v>154</v>
      </c>
      <c r="B33" s="10"/>
      <c r="C33" s="10"/>
      <c r="D33" s="10"/>
      <c r="E33" s="10"/>
      <c r="F33" s="10"/>
      <c r="G33" s="10"/>
    </row>
    <row r="34" spans="1:7" ht="18.75" x14ac:dyDescent="0.3">
      <c r="A34" s="225" t="s">
        <v>44</v>
      </c>
      <c r="B34" s="225"/>
      <c r="C34" s="10"/>
      <c r="D34" s="10"/>
      <c r="E34" s="10"/>
      <c r="F34" s="10"/>
      <c r="G34" s="10"/>
    </row>
  </sheetData>
  <mergeCells count="37">
    <mergeCell ref="A6:G6"/>
    <mergeCell ref="B10:C10"/>
    <mergeCell ref="D10:E10"/>
    <mergeCell ref="F10:G10"/>
    <mergeCell ref="E1:G1"/>
    <mergeCell ref="A2:G2"/>
    <mergeCell ref="A4:G4"/>
    <mergeCell ref="A15:G15"/>
    <mergeCell ref="B11:C11"/>
    <mergeCell ref="D11:E11"/>
    <mergeCell ref="F11:G11"/>
    <mergeCell ref="B12:C12"/>
    <mergeCell ref="D12:E12"/>
    <mergeCell ref="F12:G12"/>
    <mergeCell ref="C25:D25"/>
    <mergeCell ref="F25:G25"/>
    <mergeCell ref="C26:D26"/>
    <mergeCell ref="F26:G26"/>
    <mergeCell ref="C28:D28"/>
    <mergeCell ref="F28:G28"/>
    <mergeCell ref="A34:B34"/>
    <mergeCell ref="C29:D29"/>
    <mergeCell ref="F29:G29"/>
    <mergeCell ref="C31:D31"/>
    <mergeCell ref="F31:G31"/>
    <mergeCell ref="C32:D32"/>
    <mergeCell ref="F32:G32"/>
    <mergeCell ref="B23:C23"/>
    <mergeCell ref="D23:E23"/>
    <mergeCell ref="F23:G23"/>
    <mergeCell ref="A17:G17"/>
    <mergeCell ref="B21:C21"/>
    <mergeCell ref="D21:E21"/>
    <mergeCell ref="B22:C22"/>
    <mergeCell ref="D22:E22"/>
    <mergeCell ref="F21:G21"/>
    <mergeCell ref="F22:G22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2023-05-31T07:44:26Z</cp:lastPrinted>
  <dcterms:created xsi:type="dcterms:W3CDTF">2019-11-07T09:21:57Z</dcterms:created>
  <dcterms:modified xsi:type="dcterms:W3CDTF">2023-06-09T09:36:04Z</dcterms:modified>
</cp:coreProperties>
</file>